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A7C57EBD-40D8-4A20-8D1C-6E2C21DE47D6}" xr6:coauthVersionLast="47" xr6:coauthVersionMax="47" xr10:uidLastSave="{00000000-0000-0000-0000-000000000000}"/>
  <workbookProtection workbookAlgorithmName="SHA-512" workbookHashValue="50Ntzc41/Dgu4DShZn2zWke3TCSZ4tWwBXe88Z+Y1qjOx+RIN8YSN7VJ+zLuh6Hqp4LGWB/gPuw5qGCap7V53Q==" workbookSaltValue="/zbcHWJy70SAZ2vEetsN7A==" workbookSpinCount="100000" lockStructure="1"/>
  <bookViews>
    <workbookView xWindow="-120" yWindow="-120" windowWidth="29040" windowHeight="15840" tabRatio="834" xr2:uid="{00000000-000D-0000-FFFF-FFFF00000000}"/>
  </bookViews>
  <sheets>
    <sheet name="Índice" sheetId="4" r:id="rId1"/>
    <sheet name="Consumo energía nacional" sheetId="3" r:id="rId2"/>
    <sheet name="Grafica nacional" sheetId="10" state="hidden" r:id="rId3"/>
    <sheet name="Consumo energía departamental" sheetId="5" r:id="rId4"/>
    <sheet name="Grafica departamental" sheetId="11" state="hidden" r:id="rId5"/>
    <sheet name="Consumo energía AA" sheetId="8" r:id="rId6"/>
    <sheet name="Grafica AA" sheetId="12" state="hidden" r:id="rId7"/>
    <sheet name="Consumo energía CIIU" sheetId="9" r:id="rId8"/>
  </sheets>
  <definedNames>
    <definedName name="_xlnm._FilterDatabase" localSheetId="7" hidden="1">'Consumo energía CIIU'!$A$10:$K$151</definedName>
  </definedNames>
  <calcPr calcId="191029"/>
  <pivotCaches>
    <pivotCache cacheId="0" r:id="rId9"/>
    <pivotCache cacheId="1" r:id="rId10"/>
    <pivotCache cacheId="2" r:id="rId11"/>
  </pivotCaches>
</workbook>
</file>

<file path=xl/calcChain.xml><?xml version="1.0" encoding="utf-8"?>
<calcChain xmlns="http://schemas.openxmlformats.org/spreadsheetml/2006/main">
  <c r="D14" i="3" l="1"/>
  <c r="D13" i="3"/>
  <c r="D12" i="3"/>
  <c r="D11" i="3"/>
  <c r="D10" i="3"/>
  <c r="D9" i="3"/>
  <c r="D8" i="3"/>
  <c r="D7" i="3"/>
  <c r="A3" i="11"/>
  <c r="B3" i="11"/>
  <c r="C3" i="11"/>
  <c r="D3" i="11"/>
  <c r="G3" i="11"/>
  <c r="H3" i="11"/>
  <c r="I3" i="11"/>
  <c r="J3" i="11"/>
  <c r="A4" i="11"/>
  <c r="B4" i="11"/>
  <c r="C4" i="11"/>
  <c r="D4" i="11"/>
  <c r="F4" i="11"/>
  <c r="G4" i="11"/>
  <c r="H4" i="11"/>
  <c r="I4" i="11"/>
  <c r="J4" i="11"/>
  <c r="A5" i="11"/>
  <c r="B5" i="11"/>
  <c r="C5" i="11"/>
  <c r="D5" i="11"/>
  <c r="G5" i="11"/>
  <c r="H5" i="11"/>
  <c r="I5" i="11"/>
  <c r="J5" i="11"/>
  <c r="A6" i="11"/>
  <c r="B6" i="11"/>
  <c r="C6" i="11"/>
  <c r="D6" i="11"/>
  <c r="G6" i="11"/>
  <c r="H6" i="11"/>
  <c r="I6" i="11"/>
  <c r="J6" i="11"/>
  <c r="A7" i="11"/>
  <c r="B7" i="11"/>
  <c r="C7" i="11"/>
  <c r="D7" i="11"/>
  <c r="G7" i="11"/>
  <c r="H7" i="11"/>
  <c r="I7" i="11"/>
  <c r="J7" i="11"/>
  <c r="A8" i="11"/>
  <c r="B8" i="11"/>
  <c r="C8" i="11"/>
  <c r="D8" i="11"/>
  <c r="G8" i="11"/>
  <c r="H8" i="11"/>
  <c r="I8" i="11"/>
  <c r="J8" i="11"/>
  <c r="A9" i="11"/>
  <c r="B9" i="11"/>
  <c r="C9" i="11"/>
  <c r="D9" i="11"/>
  <c r="G9" i="11"/>
  <c r="H9" i="11"/>
  <c r="I9" i="11"/>
  <c r="J9" i="11"/>
  <c r="A10" i="11"/>
  <c r="B10" i="11"/>
  <c r="C10" i="11"/>
  <c r="D10" i="11"/>
  <c r="G10" i="11"/>
  <c r="H10" i="11"/>
  <c r="I10" i="11"/>
  <c r="J10" i="11"/>
  <c r="A11" i="11"/>
  <c r="B11" i="11"/>
  <c r="C11" i="11"/>
  <c r="D11" i="11"/>
  <c r="G11" i="11"/>
  <c r="H11" i="11"/>
  <c r="I11" i="11"/>
  <c r="J11" i="11"/>
  <c r="A12" i="11"/>
  <c r="B12" i="11"/>
  <c r="C12" i="11"/>
  <c r="D12" i="11"/>
  <c r="G12" i="11"/>
  <c r="H12" i="11"/>
  <c r="I12" i="11"/>
  <c r="J12" i="11"/>
  <c r="A13" i="11"/>
  <c r="B13" i="11"/>
  <c r="C13" i="11"/>
  <c r="D13" i="11"/>
  <c r="G13" i="11"/>
  <c r="H13" i="11"/>
  <c r="I13" i="11"/>
  <c r="J13" i="11"/>
  <c r="A14" i="11"/>
  <c r="B14" i="11"/>
  <c r="C14" i="11"/>
  <c r="D14" i="11"/>
  <c r="G14" i="11"/>
  <c r="H14" i="11"/>
  <c r="I14" i="11"/>
  <c r="J14" i="11"/>
  <c r="A15" i="11"/>
  <c r="B15" i="11"/>
  <c r="C15" i="11"/>
  <c r="D15" i="11"/>
  <c r="G15" i="11"/>
  <c r="H15" i="11"/>
  <c r="I15" i="11"/>
  <c r="J15" i="11"/>
  <c r="A16" i="11"/>
  <c r="B16" i="11"/>
  <c r="C16" i="11"/>
  <c r="D16" i="11"/>
  <c r="E16" i="11"/>
  <c r="F16" i="11"/>
  <c r="G16" i="11"/>
  <c r="H16" i="11"/>
  <c r="J16" i="11"/>
  <c r="A17" i="11"/>
  <c r="B17" i="11"/>
  <c r="C17" i="11"/>
  <c r="D17" i="11"/>
  <c r="G17" i="11"/>
  <c r="H17" i="11"/>
  <c r="I17" i="11"/>
  <c r="J17" i="11"/>
  <c r="A18" i="11"/>
  <c r="B18" i="11"/>
  <c r="C18" i="11"/>
  <c r="D18" i="11"/>
  <c r="G18" i="11"/>
  <c r="H18" i="11"/>
  <c r="I18" i="11"/>
  <c r="J18" i="11"/>
  <c r="A19" i="11"/>
  <c r="B19" i="11"/>
  <c r="C19" i="11"/>
  <c r="D19" i="11"/>
  <c r="G19" i="11"/>
  <c r="H19" i="11"/>
  <c r="I19" i="11"/>
  <c r="J19" i="11"/>
  <c r="A20" i="11"/>
  <c r="B20" i="11"/>
  <c r="C20" i="11"/>
  <c r="D20" i="11"/>
  <c r="G20" i="11"/>
  <c r="H20" i="11"/>
  <c r="I20" i="11"/>
  <c r="J20" i="11"/>
  <c r="A21" i="11"/>
  <c r="B21" i="11"/>
  <c r="C21" i="11"/>
  <c r="D21" i="11"/>
  <c r="G21" i="11"/>
  <c r="H21" i="11"/>
  <c r="I21" i="11"/>
  <c r="J21" i="11"/>
  <c r="A22" i="11"/>
  <c r="B22" i="11"/>
  <c r="C22" i="11"/>
  <c r="D22" i="11"/>
  <c r="G22" i="11"/>
  <c r="H22" i="11"/>
  <c r="I22" i="11"/>
  <c r="J22" i="11"/>
  <c r="A23" i="11"/>
  <c r="B23" i="11"/>
  <c r="C23" i="11"/>
  <c r="D23" i="11"/>
  <c r="G23" i="11"/>
  <c r="H23" i="11"/>
  <c r="I23" i="11"/>
  <c r="J23" i="11"/>
  <c r="A24" i="11"/>
  <c r="B24" i="11"/>
  <c r="C24" i="11"/>
  <c r="D24" i="11"/>
  <c r="G24" i="11"/>
  <c r="H24" i="11"/>
  <c r="I24" i="11"/>
  <c r="J24" i="11"/>
  <c r="A25" i="11"/>
  <c r="B25" i="11"/>
  <c r="C25" i="11"/>
  <c r="D25" i="11"/>
  <c r="G25" i="11"/>
  <c r="H25" i="11"/>
  <c r="I25" i="11"/>
  <c r="J25" i="11"/>
  <c r="A26" i="11"/>
  <c r="B26" i="11"/>
  <c r="C26" i="11"/>
  <c r="D26" i="11"/>
  <c r="G26" i="11"/>
  <c r="H26" i="11"/>
  <c r="I26" i="11"/>
  <c r="J26" i="11"/>
  <c r="A27" i="11"/>
  <c r="B27" i="11"/>
  <c r="C27" i="11"/>
  <c r="D27" i="11"/>
  <c r="G27" i="11"/>
  <c r="H27" i="11"/>
  <c r="I27" i="11"/>
  <c r="J27" i="11"/>
  <c r="A28" i="11"/>
  <c r="B28" i="11"/>
  <c r="C28" i="11"/>
  <c r="D28" i="11"/>
  <c r="G28" i="11"/>
  <c r="H28" i="11"/>
  <c r="I28" i="11"/>
  <c r="J28" i="11"/>
  <c r="A29" i="11"/>
  <c r="B29" i="11"/>
  <c r="C29" i="11"/>
  <c r="D29" i="11"/>
  <c r="E29" i="11"/>
  <c r="F29" i="11"/>
  <c r="G29" i="11"/>
  <c r="H29" i="11"/>
  <c r="I29" i="11"/>
  <c r="J29" i="11"/>
  <c r="A30" i="11"/>
  <c r="B30" i="11"/>
  <c r="C30" i="11"/>
  <c r="D30" i="11"/>
  <c r="E30" i="11"/>
  <c r="F30" i="11"/>
  <c r="G30" i="11"/>
  <c r="H30" i="11"/>
  <c r="I30" i="11"/>
  <c r="J30" i="11"/>
  <c r="B2" i="11"/>
  <c r="C2" i="11"/>
  <c r="D2" i="11"/>
  <c r="G2" i="11"/>
  <c r="H2" i="11"/>
  <c r="I2" i="11"/>
  <c r="J2" i="11"/>
  <c r="A2" i="11"/>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A32" i="12"/>
  <c r="B32" i="12"/>
  <c r="C32" i="12"/>
  <c r="D32" i="12"/>
  <c r="E32" i="12"/>
  <c r="F32" i="12"/>
  <c r="G32" i="12"/>
  <c r="H32" i="12"/>
  <c r="I32" i="12"/>
  <c r="J32" i="12"/>
  <c r="A33" i="12"/>
  <c r="B33" i="12"/>
  <c r="C33" i="12"/>
  <c r="D33" i="12"/>
  <c r="E33" i="12"/>
  <c r="F33" i="12"/>
  <c r="G33" i="12"/>
  <c r="H33" i="12"/>
  <c r="I33" i="12"/>
  <c r="J33" i="12"/>
  <c r="A34" i="12"/>
  <c r="B34" i="12"/>
  <c r="C34" i="12"/>
  <c r="D34" i="12"/>
  <c r="E34" i="12"/>
  <c r="F34" i="12"/>
  <c r="G34" i="12"/>
  <c r="H34" i="12"/>
  <c r="I34" i="12"/>
  <c r="J34" i="12"/>
  <c r="A35" i="12"/>
  <c r="B35" i="12"/>
  <c r="C35" i="12"/>
  <c r="D35" i="12"/>
  <c r="E35" i="12"/>
  <c r="F35" i="12"/>
  <c r="G35" i="12"/>
  <c r="H35" i="12"/>
  <c r="I35" i="12"/>
  <c r="J35" i="12"/>
  <c r="A36" i="12"/>
  <c r="B36" i="12"/>
  <c r="C36" i="12"/>
  <c r="D36" i="12"/>
  <c r="E36" i="12"/>
  <c r="F36" i="12"/>
  <c r="G36" i="12"/>
  <c r="H36" i="12"/>
  <c r="I36" i="12"/>
  <c r="J36" i="12"/>
  <c r="A37" i="12"/>
  <c r="B37" i="12"/>
  <c r="C37" i="12"/>
  <c r="D37" i="12"/>
  <c r="E37" i="12"/>
  <c r="F37" i="12"/>
  <c r="G37" i="12"/>
  <c r="H37" i="12"/>
  <c r="I37" i="12"/>
  <c r="J37" i="12"/>
  <c r="A38" i="12"/>
  <c r="B38" i="12"/>
  <c r="C38" i="12"/>
  <c r="D38" i="12"/>
  <c r="E38" i="12"/>
  <c r="F38" i="12"/>
  <c r="G38" i="12"/>
  <c r="H38" i="12"/>
  <c r="I38" i="12"/>
  <c r="J38" i="12"/>
  <c r="A39" i="12"/>
  <c r="B39" i="12"/>
  <c r="C39" i="12"/>
  <c r="D39" i="12"/>
  <c r="E39" i="12"/>
  <c r="F39" i="12"/>
  <c r="G39" i="12"/>
  <c r="H39" i="12"/>
  <c r="I39" i="12"/>
  <c r="J39" i="12"/>
  <c r="A40" i="12"/>
  <c r="B40" i="12"/>
  <c r="C40" i="12"/>
  <c r="D40" i="12"/>
  <c r="E40" i="12"/>
  <c r="F40" i="12"/>
  <c r="G40" i="12"/>
  <c r="H40" i="12"/>
  <c r="I40" i="12"/>
  <c r="J40" i="12"/>
  <c r="A41" i="12"/>
  <c r="B41" i="12"/>
  <c r="C41" i="12"/>
  <c r="D41" i="12"/>
  <c r="E41" i="12"/>
  <c r="F41" i="12"/>
  <c r="G41" i="12"/>
  <c r="H41" i="12"/>
  <c r="I41" i="12"/>
  <c r="J41" i="12"/>
  <c r="B2" i="12"/>
  <c r="C2" i="12"/>
  <c r="D2" i="12"/>
  <c r="E2" i="12"/>
  <c r="F2" i="12"/>
  <c r="G2" i="12"/>
  <c r="H2" i="12"/>
  <c r="I2" i="12"/>
  <c r="J2" i="12"/>
  <c r="A2" i="12"/>
  <c r="J25" i="5" l="1"/>
  <c r="I16" i="11" l="1"/>
  <c r="G12" i="5"/>
  <c r="F3" i="11" s="1"/>
  <c r="G16" i="5"/>
  <c r="F7" i="11" s="1"/>
  <c r="G26" i="5"/>
  <c r="F17" i="11" s="1"/>
  <c r="G35" i="5"/>
  <c r="F26" i="11" s="1"/>
  <c r="G37" i="5"/>
  <c r="F28" i="11" s="1"/>
  <c r="G36" i="5"/>
  <c r="F27" i="11" s="1"/>
  <c r="G34" i="5"/>
  <c r="F25" i="11" s="1"/>
  <c r="G33" i="5"/>
  <c r="F24" i="11" s="1"/>
  <c r="G32" i="5"/>
  <c r="F23" i="11" s="1"/>
  <c r="G31" i="5"/>
  <c r="F22" i="11" s="1"/>
  <c r="G30" i="5"/>
  <c r="F21" i="11" s="1"/>
  <c r="G29" i="5"/>
  <c r="F20" i="11" s="1"/>
  <c r="G28" i="5"/>
  <c r="F19" i="11" s="1"/>
  <c r="G27" i="5"/>
  <c r="F18" i="11" s="1"/>
  <c r="G24" i="5"/>
  <c r="F15" i="11" s="1"/>
  <c r="G23" i="5"/>
  <c r="F14" i="11" s="1"/>
  <c r="G22" i="5"/>
  <c r="F13" i="11" s="1"/>
  <c r="G21" i="5"/>
  <c r="F12" i="11" s="1"/>
  <c r="G20" i="5"/>
  <c r="F11" i="11" s="1"/>
  <c r="G19" i="5"/>
  <c r="F10" i="11" s="1"/>
  <c r="G18" i="5"/>
  <c r="F9" i="11" s="1"/>
  <c r="G17" i="5"/>
  <c r="F8" i="11" s="1"/>
  <c r="G15" i="5"/>
  <c r="F6" i="11" s="1"/>
  <c r="G14" i="5"/>
  <c r="F5" i="11" s="1"/>
  <c r="G11" i="5"/>
  <c r="F37" i="5"/>
  <c r="E28" i="11" s="1"/>
  <c r="F36" i="5"/>
  <c r="E27" i="11" s="1"/>
  <c r="F35" i="5"/>
  <c r="E26" i="11" s="1"/>
  <c r="F34" i="5"/>
  <c r="E25" i="11" s="1"/>
  <c r="F33" i="5"/>
  <c r="E24" i="11" s="1"/>
  <c r="F32" i="5"/>
  <c r="E23" i="11" s="1"/>
  <c r="F31" i="5"/>
  <c r="E22" i="11" s="1"/>
  <c r="F30" i="5"/>
  <c r="E21" i="11" s="1"/>
  <c r="F29" i="5"/>
  <c r="E20" i="11" s="1"/>
  <c r="F28" i="5"/>
  <c r="E19" i="11" s="1"/>
  <c r="F27" i="5"/>
  <c r="E18" i="11" s="1"/>
  <c r="F26" i="5"/>
  <c r="E17" i="11" s="1"/>
  <c r="F24" i="5"/>
  <c r="E15" i="11" s="1"/>
  <c r="F23" i="5"/>
  <c r="E14" i="11" s="1"/>
  <c r="F22" i="5"/>
  <c r="E13" i="11" s="1"/>
  <c r="F21" i="5"/>
  <c r="E12" i="11" s="1"/>
  <c r="F20" i="5"/>
  <c r="E11" i="11" s="1"/>
  <c r="F19" i="5"/>
  <c r="E10" i="11" s="1"/>
  <c r="F18" i="5"/>
  <c r="E9" i="11" s="1"/>
  <c r="F17" i="5"/>
  <c r="E8" i="11" s="1"/>
  <c r="F16" i="5"/>
  <c r="E7" i="11" s="1"/>
  <c r="F15" i="5"/>
  <c r="E6" i="11" s="1"/>
  <c r="F14" i="5"/>
  <c r="E5" i="11" s="1"/>
  <c r="F12" i="5"/>
  <c r="E3" i="11" s="1"/>
  <c r="F13" i="5"/>
  <c r="E4" i="11" s="1"/>
  <c r="F11" i="5"/>
  <c r="E2" i="11" l="1"/>
  <c r="F2" i="11"/>
</calcChain>
</file>

<file path=xl/sharedStrings.xml><?xml version="1.0" encoding="utf-8"?>
<sst xmlns="http://schemas.openxmlformats.org/spreadsheetml/2006/main" count="390" uniqueCount="255">
  <si>
    <t>Año</t>
  </si>
  <si>
    <t>ÍNDICE</t>
  </si>
  <si>
    <t>PERIODO</t>
  </si>
  <si>
    <t>Ítem</t>
  </si>
  <si>
    <t>Contenido</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</si>
  <si>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</si>
  <si>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</si>
  <si>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</si>
  <si>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</si>
  <si>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</si>
  <si>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</si>
  <si>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</si>
  <si>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</si>
  <si>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</si>
  <si>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</si>
  <si>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</si>
  <si>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</si>
  <si>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</si>
  <si>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</si>
  <si>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</si>
  <si>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</si>
  <si>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</si>
  <si>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</si>
  <si>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RISARALDA</t>
  </si>
  <si>
    <t>SANTANDER</t>
  </si>
  <si>
    <t>SUCRE</t>
  </si>
  <si>
    <t>TOLIMA</t>
  </si>
  <si>
    <t>VALLE DEL CAUCA</t>
  </si>
  <si>
    <t>VAUPES</t>
  </si>
  <si>
    <t xml:space="preserve">                      Año
Departamento</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</si>
  <si>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</si>
  <si>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</si>
  <si>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</si>
  <si>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</si>
  <si>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</si>
  <si>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</si>
  <si>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</si>
  <si>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</si>
  <si>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</si>
  <si>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</si>
  <si>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</si>
  <si>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</si>
  <si>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</si>
  <si>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</si>
  <si>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</si>
  <si>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</si>
  <si>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</si>
  <si>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</si>
  <si>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</si>
  <si>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</si>
  <si>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</si>
  <si>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</si>
  <si>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</si>
  <si>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CORPOMOJANA</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</si>
  <si>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</si>
  <si>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</si>
  <si>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</si>
  <si>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</si>
  <si>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</si>
  <si>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</si>
  <si>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</si>
  <si>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</si>
  <si>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</si>
  <si>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</si>
  <si>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</si>
  <si>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</si>
  <si>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</si>
  <si>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</si>
  <si>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</si>
  <si>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</si>
  <si>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</si>
  <si>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Consumo de Energía Eléctrica en el Sector Manufacturero Nacional</t>
  </si>
  <si>
    <t>Consumo de Energía Eléctrica en el Sector Manufacturero Autoridad Ambiental</t>
  </si>
  <si>
    <t>Consumo de Energía Eléctrica en el Sector Manufacturero CIIU</t>
  </si>
  <si>
    <t>Consumo de energía eléctrica por el establecimiento industrial - Gigavatio hora (Gwh)</t>
  </si>
  <si>
    <t>CALDAS</t>
  </si>
  <si>
    <t>GUAINÍA</t>
  </si>
  <si>
    <t>QUINDÍO</t>
  </si>
  <si>
    <t>VICHADA</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</si>
  <si>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</si>
  <si>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</si>
  <si>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</si>
  <si>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</si>
  <si>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</si>
  <si>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</si>
  <si>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</si>
  <si>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</si>
  <si>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</si>
  <si>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</si>
  <si>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</si>
  <si>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</si>
  <si>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</si>
  <si>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</si>
  <si>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</si>
  <si>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</si>
  <si>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</si>
  <si>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</si>
  <si>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</si>
  <si>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</si>
  <si>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</si>
  <si>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</si>
  <si>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</si>
  <si>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</si>
  <si>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</si>
  <si>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</si>
  <si>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</si>
  <si>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</si>
  <si>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</si>
  <si>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</si>
  <si>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</si>
  <si>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</si>
  <si>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</si>
  <si>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</si>
  <si>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</si>
  <si>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</si>
  <si>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</si>
  <si>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</si>
  <si>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</si>
  <si>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</si>
  <si>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</si>
  <si>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</si>
  <si>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</si>
  <si>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</si>
  <si>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</si>
  <si>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</si>
  <si>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</si>
  <si>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</si>
  <si>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</si>
  <si>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</si>
  <si>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</si>
  <si>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</si>
  <si>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</si>
  <si>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</si>
  <si>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</si>
  <si>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</si>
  <si>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</si>
  <si>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</si>
  <si>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</si>
  <si>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</si>
  <si>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</si>
  <si>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</si>
  <si>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</si>
  <si>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</si>
  <si>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</si>
  <si>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</si>
  <si>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</si>
  <si>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</si>
  <si>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</si>
  <si>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</si>
  <si>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</si>
  <si>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</si>
  <si>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</si>
  <si>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</si>
  <si>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</si>
  <si>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</si>
  <si>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</si>
  <si>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</si>
  <si>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</si>
  <si>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 xml:space="preserve">2432 Fundición de metales no ferrosos </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</si>
  <si>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</si>
  <si>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</si>
  <si>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</si>
  <si>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</si>
  <si>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</si>
  <si>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</si>
  <si>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</si>
  <si>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</si>
  <si>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</si>
  <si>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</si>
  <si>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</si>
  <si>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</si>
  <si>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</si>
  <si>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</si>
  <si>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</si>
  <si>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</si>
  <si>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</si>
  <si>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</si>
  <si>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</si>
  <si>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</si>
  <si>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</si>
  <si>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</si>
  <si>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</si>
  <si>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</si>
  <si>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</si>
  <si>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</si>
  <si>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</si>
  <si>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</si>
  <si>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</si>
  <si>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</si>
  <si>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</si>
  <si>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</si>
  <si>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</si>
  <si>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</si>
  <si>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</si>
  <si>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</si>
  <si>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 xml:space="preserve">2920 Fabricación de carrocerías para vehículos automotores, fabricación de remolques y semirremolques </t>
  </si>
  <si>
    <t>2930 Fabricación de partes, piezas (autopartes) y accesorios (lujos) para vehículos automotores</t>
  </si>
  <si>
    <t>3011 Construcción de barcos y de estructuras flotantes</t>
  </si>
  <si>
    <t>3012 Construcción de embarcaciones de recreo y deporte</t>
  </si>
  <si>
    <t>3091 Fabricación de motocicletas</t>
  </si>
  <si>
    <t xml:space="preserve">3110 Fabricación de muebles </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</si>
  <si>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</si>
  <si>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</si>
  <si>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</si>
  <si>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</si>
  <si>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</si>
  <si>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</si>
  <si>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</si>
  <si>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</si>
  <si>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</si>
  <si>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</si>
  <si>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</si>
  <si>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</si>
  <si>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 xml:space="preserve">3320 Instalación especializada de maquinaria y equipo industrial </t>
  </si>
  <si>
    <t>Consumo de Energía Eléctrica en el Sector Manufacturero Dapartamental</t>
  </si>
  <si>
    <t xml:space="preserve">                                         </t>
  </si>
  <si>
    <t>Etiquetas de fila</t>
  </si>
  <si>
    <t>Total general</t>
  </si>
  <si>
    <t>Suma de Consumo de energía eléctrica por el establecimiento industrial - Gigavatio hora (Gwh)</t>
  </si>
  <si>
    <t>2014-2022</t>
  </si>
  <si>
    <t>Departamento</t>
  </si>
  <si>
    <t>Suma de 2014</t>
  </si>
  <si>
    <t>Suma de 2015</t>
  </si>
  <si>
    <t>Suma de 2016</t>
  </si>
  <si>
    <t>Suma de 2017</t>
  </si>
  <si>
    <t>Suma de 2018</t>
  </si>
  <si>
    <t>Suma de 2019</t>
  </si>
  <si>
    <t>Suma de 2020</t>
  </si>
  <si>
    <t>Suma de 2021</t>
  </si>
  <si>
    <t>Suma de 2022</t>
  </si>
  <si>
    <t>Autoridad Ambiental</t>
  </si>
  <si>
    <t>1031 Extracción de aceites de origen vegetal crudos</t>
  </si>
  <si>
    <t>1032 Elaboración de aceites y grasas de origen vegetal refinados</t>
  </si>
  <si>
    <t>1033 Elaboración de aceites y grasas de origen animal</t>
  </si>
  <si>
    <t>3211 Fabricación de joyas y articulos conexos</t>
  </si>
  <si>
    <t>3212 Fabricación de bisuteria y articulos conexos</t>
  </si>
  <si>
    <t xml:space="preserve">*1 La variación anual se define como el cambio porcentual del consumo de energía eléctrica de un año con respecto al anterior. 
</t>
  </si>
  <si>
    <r>
      <t>Variación Anual*</t>
    </r>
    <r>
      <rPr>
        <b/>
        <vertAlign val="superscript"/>
        <sz val="10"/>
        <color rgb="FF000000"/>
        <rFont val="Arial"/>
        <family val="2"/>
      </rPr>
      <t>1</t>
    </r>
    <r>
      <rPr>
        <b/>
        <sz val="10"/>
        <color rgb="FF000000"/>
        <rFont val="Arial"/>
        <family val="2"/>
      </rPr>
      <t xml:space="preserve">  %</t>
    </r>
  </si>
  <si>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</si>
  <si>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Fecha de publicación. 15 de Diciembre de 2023</t>
  </si>
  <si>
    <t>Fuente: Instituto de Hidrología, Meteorología y Estudios Ambientales  - IDEAM. Subdirección de Estudios Ambientales. Grupo de Seguimiento a la Sostenibilidad del Desarrollo. RUA Manufacturero. 2023</t>
  </si>
  <si>
    <t>Fuente: Instituto de Hidrología, Meteorología y Estudios Ambientales  - IDEAM. Subdirección de Estudios Ambientales. Grupo de Seguimiento a la Sostenibilidad del Desarrollo. RUA Manufacturero. 2023.</t>
  </si>
  <si>
    <t>Colombia. Consumo de Energía Eléctrica en el Sector Manufacturero Autoridad Ambiental. Periodo 2014-2022.</t>
  </si>
  <si>
    <t>Colombia. Consumo de Energía Eléctrica en el Sector Manufacturero CIIU. Periodo 2014-2022.</t>
  </si>
  <si>
    <t>10. consumo energía eléctrica es calculado a de acuerdo a los valores ingresados en los ítems, utilizando la siguiente ecuación: 
•	Energía eléctrica comprada: EEC
•	Energía eléctrica generada: EEG
•	Energía eléctrica vendida: EEV
Total consumo de energía eléctrica = EEC + EEG – EEV</t>
  </si>
  <si>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</si>
  <si>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10. El consumo energía eléctrica es calculado a de acuerdo a los valores ingresados en los ítems, utilizando la siguiente ecuación: 
•	Energía eléctrica comprada: EEC
•	Energía eléctrica generada: EEG
•	Energía eléctrica vendida: EEV
Total consumo de energía eléctrica = EEC + EEG – EEV</t>
  </si>
  <si>
    <t>11. El consumo energía eléctrica es calculado a de acuerdo a los valores ingresados en los ítems, utilizando la siguiente ecuación: 
•	Energía eléctrica comprada: EEC
•	Energía eléctrica generada: EEG
•	Energía eléctrica vendida: EEV
Total, consumo de energía eléctrica = EEC + EEG – EEV</t>
  </si>
  <si>
    <t>Notas:
1.	Debido a sentencia del consejo de estado sala de lo contencioso administrativo sección primera del veintiuno (21) de junio de dos mil dieciocho (2018) se decreta nulidad al acuerdo metropolitano No. 016 de 31 de agosto de 2012, expedido por la Junta Metropolitana de Bucaramanga y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</si>
  <si>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t>
  </si>
  <si>
    <t>Colombia. Consumo de Energía Eléctrica en el Sector Manufacturero. Periodo 2014-2022.</t>
  </si>
  <si>
    <t>Colombia. Consumo de Energía Eléctrica en el Sector Manufacturero Departamento. Periodo 2014-2022.</t>
  </si>
  <si>
    <t>Colombia. Consumo de Energía Eléctrica en el Sector Manufacturero. Periodo 2014-2022</t>
  </si>
  <si>
    <t xml:space="preserve">                                                                                                                             Año
CIIU</t>
  </si>
  <si>
    <t xml:space="preserve">                                         Año
Autoridad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</si>
</sst>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0.0"/>
    <numFmt numFmtId="165" formatCode="_-* #,##0_-;\-* #,##0_-;_-* &quot;-&quot;??_-;_-@_-"/>
    <numFmt numFmtId="166" formatCode="_-* #,##0.000000_-;\-* #,##0.000000_-;_-* &quot;-&quot;??_-;_-@_-"/>
    <numFmt numFmtId="167" formatCode="0_ ;\-0\ "/>
    <numFmt numFmtId="168" formatCode="#,##0.0000"/>
    <numFmt numFmtId="169" formatCode="#,##0.00000"/>
    <numFmt numFmtId="170" formatCode="#,##0.000000"/>
  </numFmts>
  <fonts count="21"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9"/>
      <color rgb="FF000000"/>
      <name val="Arial"/>
      <family val="2"/>
    </font>
    <font>
      <vertAlign val="superscript"/>
      <sz val="9"/>
      <color rgb="FF000000"/>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b/>
      <sz val="13"/>
      <color theme="1"/>
      <name val="Calibri"/>
      <family val="2"/>
      <scheme val="minor"/>
    </font>
    <font>
      <u/>
      <sz val="11"/>
      <color theme="10"/>
      <name val="Calibri"/>
      <family val="2"/>
      <scheme val="minor"/>
    </font>
    <font>
      <b/>
      <sz val="12"/>
      <color theme="1"/>
      <name val="Calibri"/>
      <family val="2"/>
      <scheme val="minor"/>
    </font>
    <font>
      <b/>
      <sz val="12"/>
      <color theme="1"/>
      <name val="Arial"/>
      <family val="2"/>
    </font>
    <font>
      <sz val="9"/>
      <color theme="1"/>
      <name val="Calibri"/>
      <family val="2"/>
      <scheme val="minor"/>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7">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xf numFmtId="41" fontId="1" fillId="0" borderId="0" applyFont="0" applyFill="0" applyBorder="0" applyAlignment="0" applyProtection="0"/>
  </cellStyleXfs>
  <cellXfs count="77">
    <xf numFmtId="0" fontId="0" fillId="0" borderId="0" xfId="0"/>
    <xf numFmtId="0" fontId="7" fillId="0" borderId="0" xfId="0" applyFont="1"/>
    <xf numFmtId="0" fontId="4" fillId="0" borderId="0" xfId="2" applyFont="1" applyAlignment="1">
      <alignment vertical="center" wrapText="1"/>
    </xf>
    <xf numFmtId="0" fontId="9" fillId="0" borderId="0" xfId="0" applyFont="1"/>
    <xf numFmtId="0" fontId="10" fillId="0" borderId="0" xfId="0" applyFont="1" applyAlignment="1">
      <alignment wrapText="1"/>
    </xf>
    <xf numFmtId="164" fontId="7" fillId="0" borderId="0" xfId="0" applyNumberFormat="1" applyFont="1"/>
    <xf numFmtId="0" fontId="9" fillId="0" borderId="0" xfId="0" applyFont="1" applyAlignment="1">
      <alignment horizontal="center" vertical="center"/>
    </xf>
    <xf numFmtId="3" fontId="9" fillId="0" borderId="0" xfId="0" applyNumberFormat="1" applyFont="1" applyAlignment="1">
      <alignment horizontal="center" vertical="center"/>
    </xf>
    <xf numFmtId="9" fontId="9" fillId="0" borderId="0" xfId="1" applyFont="1" applyFill="1" applyBorder="1" applyAlignment="1">
      <alignment horizontal="center" vertical="center"/>
    </xf>
    <xf numFmtId="0" fontId="14" fillId="3" borderId="0" xfId="0" applyFont="1" applyFill="1"/>
    <xf numFmtId="0" fontId="7" fillId="3" borderId="0" xfId="0" applyFont="1" applyFill="1"/>
    <xf numFmtId="0" fontId="15" fillId="3" borderId="4" xfId="0" applyFont="1" applyFill="1" applyBorder="1" applyAlignment="1">
      <alignment horizontal="center"/>
    </xf>
    <xf numFmtId="0" fontId="15" fillId="3" borderId="4" xfId="0" applyFont="1" applyFill="1" applyBorder="1"/>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wrapText="1"/>
    </xf>
    <xf numFmtId="166" fontId="0" fillId="0" borderId="0" xfId="0" applyNumberFormat="1"/>
    <xf numFmtId="167" fontId="8" fillId="2" borderId="5" xfId="6" applyNumberFormat="1" applyFont="1" applyFill="1" applyBorder="1" applyAlignment="1">
      <alignment horizontal="center" vertical="center"/>
    </xf>
    <xf numFmtId="167" fontId="8" fillId="2" borderId="6" xfId="6" applyNumberFormat="1" applyFont="1" applyFill="1" applyBorder="1" applyAlignment="1">
      <alignment horizontal="center" vertical="center"/>
    </xf>
    <xf numFmtId="4" fontId="3" fillId="0" borderId="0" xfId="0" applyNumberFormat="1" applyFont="1" applyAlignment="1">
      <alignment horizontal="left" vertical="center"/>
    </xf>
    <xf numFmtId="0" fontId="8" fillId="2" borderId="0" xfId="0" applyFont="1" applyFill="1" applyAlignment="1">
      <alignment horizontal="center" vertical="center"/>
    </xf>
    <xf numFmtId="4" fontId="0" fillId="0" borderId="0" xfId="0" applyNumberFormat="1"/>
    <xf numFmtId="4" fontId="3" fillId="0" borderId="0" xfId="0" applyNumberFormat="1" applyFont="1" applyAlignment="1">
      <alignment vertical="center"/>
    </xf>
    <xf numFmtId="0" fontId="0" fillId="0" borderId="0" xfId="0" pivotButton="1"/>
    <xf numFmtId="0" fontId="0" fillId="0" borderId="0" xfId="0" applyAlignment="1">
      <alignment horizontal="left"/>
    </xf>
    <xf numFmtId="0" fontId="0" fillId="0" borderId="1" xfId="0" applyBorder="1"/>
    <xf numFmtId="0" fontId="8" fillId="2" borderId="7" xfId="0" applyFont="1" applyFill="1" applyBorder="1" applyAlignment="1">
      <alignment horizontal="left" vertical="center"/>
    </xf>
    <xf numFmtId="43" fontId="0" fillId="0" borderId="0" xfId="0" applyNumberFormat="1"/>
    <xf numFmtId="0" fontId="17" fillId="3" borderId="3" xfId="0" applyFont="1" applyFill="1" applyBorder="1"/>
    <xf numFmtId="0" fontId="18" fillId="0" borderId="3" xfId="0" applyFont="1" applyBorder="1" applyAlignment="1">
      <alignment horizontal="center" vertical="center"/>
    </xf>
    <xf numFmtId="0" fontId="17" fillId="3" borderId="3" xfId="0" applyFont="1" applyFill="1" applyBorder="1" applyAlignment="1">
      <alignment horizontal="center"/>
    </xf>
    <xf numFmtId="0" fontId="19" fillId="0" borderId="0" xfId="0" applyFont="1"/>
    <xf numFmtId="4" fontId="3" fillId="0" borderId="10" xfId="2" applyNumberFormat="1" applyBorder="1" applyAlignment="1">
      <alignment horizontal="right" vertical="center"/>
    </xf>
    <xf numFmtId="4" fontId="7" fillId="0" borderId="10" xfId="0" applyNumberFormat="1" applyFont="1" applyBorder="1" applyAlignment="1">
      <alignment horizontal="right"/>
    </xf>
    <xf numFmtId="4" fontId="7" fillId="0" borderId="10" xfId="4" applyNumberFormat="1" applyFont="1" applyFill="1" applyBorder="1" applyAlignment="1">
      <alignment horizontal="right"/>
    </xf>
    <xf numFmtId="4" fontId="3" fillId="0" borderId="1" xfId="2" applyNumberFormat="1" applyBorder="1" applyAlignment="1">
      <alignment horizontal="right" vertical="center"/>
    </xf>
    <xf numFmtId="4" fontId="7" fillId="0" borderId="1" xfId="0" applyNumberFormat="1" applyFont="1" applyBorder="1" applyAlignment="1">
      <alignment horizontal="right"/>
    </xf>
    <xf numFmtId="4" fontId="7" fillId="0" borderId="1" xfId="4" applyNumberFormat="1" applyFont="1" applyFill="1" applyBorder="1" applyAlignment="1">
      <alignment horizontal="right"/>
    </xf>
    <xf numFmtId="4" fontId="3" fillId="0" borderId="1" xfId="4" applyNumberFormat="1" applyFont="1" applyFill="1" applyBorder="1" applyAlignment="1">
      <alignment horizontal="right" vertical="center"/>
    </xf>
    <xf numFmtId="169" fontId="7" fillId="0" borderId="1" xfId="4" applyNumberFormat="1" applyFont="1" applyFill="1" applyBorder="1" applyAlignment="1">
      <alignment horizontal="right"/>
    </xf>
    <xf numFmtId="4" fontId="7" fillId="0" borderId="10" xfId="4" applyNumberFormat="1" applyFont="1" applyBorder="1" applyAlignment="1">
      <alignment horizontal="right" vertical="center"/>
    </xf>
    <xf numFmtId="4" fontId="7" fillId="0" borderId="1" xfId="4" applyNumberFormat="1" applyFont="1" applyBorder="1" applyAlignment="1">
      <alignment horizontal="right" vertical="center"/>
    </xf>
    <xf numFmtId="169" fontId="7" fillId="0" borderId="1" xfId="4" applyNumberFormat="1" applyFont="1" applyBorder="1" applyAlignment="1">
      <alignment horizontal="right" vertical="center"/>
    </xf>
    <xf numFmtId="168" fontId="7" fillId="0" borderId="1" xfId="4" applyNumberFormat="1" applyFont="1" applyBorder="1" applyAlignment="1">
      <alignment horizontal="right" vertical="center"/>
    </xf>
    <xf numFmtId="170" fontId="7" fillId="0" borderId="1" xfId="4" applyNumberFormat="1" applyFont="1" applyBorder="1" applyAlignment="1">
      <alignment horizontal="right" vertical="center"/>
    </xf>
    <xf numFmtId="4" fontId="7" fillId="3" borderId="1" xfId="0" applyNumberFormat="1" applyFont="1" applyFill="1" applyBorder="1" applyAlignment="1">
      <alignment horizontal="right"/>
    </xf>
    <xf numFmtId="4" fontId="7" fillId="3" borderId="1" xfId="4" applyNumberFormat="1" applyFont="1" applyFill="1" applyBorder="1" applyAlignment="1">
      <alignment horizontal="right"/>
    </xf>
    <xf numFmtId="165" fontId="14" fillId="0" borderId="1" xfId="4" applyNumberFormat="1" applyFont="1" applyBorder="1" applyAlignment="1">
      <alignment wrapText="1"/>
    </xf>
    <xf numFmtId="0" fontId="8" fillId="2" borderId="1" xfId="0" applyFont="1" applyFill="1" applyBorder="1" applyAlignment="1">
      <alignment horizontal="center" vertical="center"/>
    </xf>
    <xf numFmtId="0" fontId="0" fillId="3" borderId="4" xfId="0" applyFill="1" applyBorder="1" applyAlignment="1">
      <alignment horizontal="center"/>
    </xf>
    <xf numFmtId="0" fontId="16" fillId="3" borderId="4" xfId="5" applyFill="1" applyBorder="1" applyAlignment="1">
      <alignment horizontal="left"/>
    </xf>
    <xf numFmtId="0" fontId="7" fillId="3" borderId="1" xfId="0" applyFont="1" applyFill="1" applyBorder="1" applyAlignment="1">
      <alignment horizontal="center" vertical="center"/>
    </xf>
    <xf numFmtId="4" fontId="7" fillId="3" borderId="1" xfId="0" applyNumberFormat="1" applyFont="1" applyFill="1" applyBorder="1" applyAlignment="1">
      <alignment horizontal="center" vertical="center"/>
    </xf>
    <xf numFmtId="9" fontId="7" fillId="3"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7" fillId="3" borderId="1" xfId="6" applyNumberFormat="1" applyFont="1" applyFill="1" applyBorder="1" applyAlignment="1">
      <alignment horizontal="center" vertical="center"/>
    </xf>
    <xf numFmtId="4" fontId="3" fillId="0" borderId="11" xfId="2" applyNumberFormat="1" applyBorder="1" applyAlignment="1">
      <alignment horizontal="right" vertical="center"/>
    </xf>
    <xf numFmtId="4" fontId="3" fillId="0" borderId="9" xfId="2" applyNumberFormat="1" applyBorder="1" applyAlignment="1">
      <alignment horizontal="right" vertical="center"/>
    </xf>
    <xf numFmtId="170" fontId="3" fillId="0" borderId="1" xfId="2" applyNumberFormat="1" applyBorder="1" applyAlignment="1">
      <alignment horizontal="right" vertical="center"/>
    </xf>
    <xf numFmtId="0" fontId="18" fillId="0" borderId="4" xfId="0" applyFont="1" applyBorder="1" applyAlignment="1">
      <alignment horizontal="center" vertical="center"/>
    </xf>
    <xf numFmtId="0" fontId="10" fillId="3" borderId="2" xfId="0" applyFont="1" applyFill="1" applyBorder="1" applyAlignment="1">
      <alignment horizontal="left"/>
    </xf>
    <xf numFmtId="0" fontId="8" fillId="0" borderId="1" xfId="0" applyFont="1" applyBorder="1" applyAlignment="1">
      <alignment horizontal="center" vertical="center" wrapText="1"/>
    </xf>
    <xf numFmtId="0" fontId="4" fillId="0" borderId="2" xfId="2" applyFont="1" applyBorder="1" applyAlignment="1">
      <alignment horizontal="left" vertical="center" wrapText="1"/>
    </xf>
    <xf numFmtId="0" fontId="5"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0" fillId="3" borderId="0" xfId="0" applyFont="1" applyFill="1" applyAlignment="1">
      <alignment horizontal="left"/>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xf>
    <xf numFmtId="0" fontId="8"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cellXfs>
  <cellStyles count="7">
    <cellStyle name="Hipervínculo" xfId="5" builtinId="8"/>
    <cellStyle name="Millares" xfId="4" builtinId="3"/>
    <cellStyle name="Millares [0]" xfId="6" builtinId="6"/>
    <cellStyle name="Normal" xfId="0" builtinId="0"/>
    <cellStyle name="Normal 3" xfId="2" xr:uid="{00000000-0005-0000-0000-000004000000}"/>
    <cellStyle name="Porcentaje" xfId="1" builtinId="5"/>
    <cellStyle name="Título 4" xfId="3" xr:uid="{00000000-0005-0000-0000-000006000000}"/>
  </cellStyles>
  <dxfs count="1">
    <dxf>
      <numFmt numFmtId="35" formatCode="_-* #,##0.00_-;\-* #,##0.0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[D-consumo-de-energia-electrica-en-el-sector-manufacturero.xlsx]Grafica nacional!TablaDinámica4</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_(* #,##0.00_);_(* \(#,##0.00\);_(* "-"??_);_(@_)</c:formatCode>
                <c:ptCount val="9"/>
                <c:pt idx="0">
                  <c:v>22938</c:v>
                </c:pt>
                <c:pt idx="1">
                  <c:v>13832.3</c:v>
                </c:pt>
                <c:pt idx="2">
                  <c:v>13476.5</c:v>
                </c:pt>
                <c:pt idx="3">
                  <c:v>12892.8</c:v>
                </c:pt>
                <c:pt idx="4">
                  <c:v>15208.8</c:v>
                </c:pt>
                <c:pt idx="5">
                  <c:v>13157.59</c:v>
                </c:pt>
                <c:pt idx="6">
                  <c:v>13088</c:v>
                </c:pt>
                <c:pt idx="7">
                  <c:v>17422.099999999999</c:v>
                </c:pt>
                <c:pt idx="8">
                  <c:v>14326.332456</c:v>
                </c:pt>
              </c:numCache>
            </c:numRef>
          </c:val>
          <c:extLst>
            <c:ext xmlns:c16="http://schemas.microsoft.com/office/drawing/2014/chart" uri="{C3380CC4-5D6E-409C-BE32-E72D297353CC}">
              <c16:uniqueId val="{00000000-DD8F-4630-9924-F893D18DF0E4}"/>
            </c:ext>
          </c:extLst>
        </c:ser>
        <c:dLbls>
          <c:dLblPos val="outEnd"/>
          <c:showLegendKey val="0"/>
          <c:showVal val="1"/>
          <c:showCatName val="0"/>
          <c:showSerName val="0"/>
          <c:showPercent val="0"/>
          <c:showBubbleSize val="0"/>
        </c:dLbls>
        <c:gapWidth val="219"/>
        <c:overlap val="-27"/>
        <c:axId val="1420708911"/>
        <c:axId val="1420708079"/>
      </c:barChart>
      <c:catAx>
        <c:axId val="14207089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0708079"/>
        <c:crosses val="autoZero"/>
        <c:auto val="1"/>
        <c:lblAlgn val="ctr"/>
        <c:lblOffset val="100"/>
        <c:noMultiLvlLbl val="0"/>
      </c:catAx>
      <c:valAx>
        <c:axId val="14207080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Consumo de energía eléctrica - Gigavatio hora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07089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[D-consumo-de-energia-electrica-en-el-sector-manufacturero.xlsx]Grafica departamental!TablaDinámica1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departamental'!$O$2:$O$31</c:f>
              <c:numCache>
                <c:formatCode>General</c:formatCode>
                <c:ptCount val="29"/>
                <c:pt idx="0">
                  <c:v>0.5</c:v>
                </c:pt>
                <c:pt idx="1">
                  <c:v>2097.9</c:v>
                </c:pt>
                <c:pt idx="2">
                  <c:v>0</c:v>
                </c:pt>
                <c:pt idx="3">
                  <c:v>633.6</c:v>
                </c:pt>
                <c:pt idx="4">
                  <c:v>2842.3</c:v>
                </c:pt>
                <c:pt idx="5">
                  <c:v>606.1</c:v>
                </c:pt>
                <c:pt idx="6">
                  <c:v>681.5</c:v>
                </c:pt>
                <c:pt idx="7">
                  <c:v>300.39999999999998</c:v>
                </c:pt>
                <c:pt idx="8">
                  <c:v>0</c:v>
                </c:pt>
                <c:pt idx="9">
                  <c:v>6.7</c:v>
                </c:pt>
                <c:pt idx="10">
                  <c:v>715.9</c:v>
                </c:pt>
                <c:pt idx="11">
                  <c:v>33.200000000000003</c:v>
                </c:pt>
                <c:pt idx="12">
                  <c:v>17.7</c:v>
                </c:pt>
                <c:pt idx="13">
                  <c:v>3883.6</c:v>
                </c:pt>
                <c:pt idx="14">
                  <c:v>0</c:v>
                </c:pt>
                <c:pt idx="15">
                  <c:v>386</c:v>
                </c:pt>
                <c:pt idx="16">
                  <c:v>0.6</c:v>
                </c:pt>
                <c:pt idx="17">
                  <c:v>37.299999999999997</c:v>
                </c:pt>
                <c:pt idx="18">
                  <c:v>15.1</c:v>
                </c:pt>
                <c:pt idx="19">
                  <c:v>1.9</c:v>
                </c:pt>
                <c:pt idx="20">
                  <c:v>48.1</c:v>
                </c:pt>
                <c:pt idx="21">
                  <c:v>23.2</c:v>
                </c:pt>
                <c:pt idx="22">
                  <c:v>274.60000000000002</c:v>
                </c:pt>
                <c:pt idx="23">
                  <c:v>373.1</c:v>
                </c:pt>
                <c:pt idx="24">
                  <c:v>61.7</c:v>
                </c:pt>
                <c:pt idx="25">
                  <c:v>312.89999999999998</c:v>
                </c:pt>
                <c:pt idx="26">
                  <c:v>9584.1</c:v>
                </c:pt>
                <c:pt idx="27">
                  <c:v>0</c:v>
                </c:pt>
                <c:pt idx="28">
                  <c:v>0</c:v>
                </c:pt>
              </c:numCache>
            </c:numRef>
          </c:val>
          <c:extLst>
            <c:ext xmlns:c16="http://schemas.microsoft.com/office/drawing/2014/chart" uri="{C3380CC4-5D6E-409C-BE32-E72D297353CC}">
              <c16:uniqueId val="{00000000-87AA-4A3B-BE18-532621775402}"/>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departamental'!$P$2:$P$31</c:f>
              <c:numCache>
                <c:formatCode>General</c:formatCode>
                <c:ptCount val="29"/>
                <c:pt idx="0">
                  <c:v>0</c:v>
                </c:pt>
                <c:pt idx="1">
                  <c:v>2329.6</c:v>
                </c:pt>
                <c:pt idx="2">
                  <c:v>0.1</c:v>
                </c:pt>
                <c:pt idx="3">
                  <c:v>567</c:v>
                </c:pt>
                <c:pt idx="4">
                  <c:v>967.6</c:v>
                </c:pt>
                <c:pt idx="5">
                  <c:v>909.7</c:v>
                </c:pt>
                <c:pt idx="6">
                  <c:v>561</c:v>
                </c:pt>
                <c:pt idx="7">
                  <c:v>338.7</c:v>
                </c:pt>
                <c:pt idx="8">
                  <c:v>0</c:v>
                </c:pt>
                <c:pt idx="9">
                  <c:v>10.1</c:v>
                </c:pt>
                <c:pt idx="10">
                  <c:v>829</c:v>
                </c:pt>
                <c:pt idx="11">
                  <c:v>18.5</c:v>
                </c:pt>
                <c:pt idx="12">
                  <c:v>22.6</c:v>
                </c:pt>
                <c:pt idx="13">
                  <c:v>1742.3</c:v>
                </c:pt>
                <c:pt idx="14">
                  <c:v>0</c:v>
                </c:pt>
                <c:pt idx="15">
                  <c:v>33.700000000000003</c:v>
                </c:pt>
                <c:pt idx="16">
                  <c:v>0.8</c:v>
                </c:pt>
                <c:pt idx="17">
                  <c:v>59.1</c:v>
                </c:pt>
                <c:pt idx="18">
                  <c:v>14.6</c:v>
                </c:pt>
                <c:pt idx="19">
                  <c:v>3.2</c:v>
                </c:pt>
                <c:pt idx="20">
                  <c:v>45.5</c:v>
                </c:pt>
                <c:pt idx="21">
                  <c:v>503.5</c:v>
                </c:pt>
                <c:pt idx="22">
                  <c:v>265</c:v>
                </c:pt>
                <c:pt idx="23">
                  <c:v>82.8</c:v>
                </c:pt>
                <c:pt idx="24">
                  <c:v>77</c:v>
                </c:pt>
                <c:pt idx="25">
                  <c:v>37.299999999999997</c:v>
                </c:pt>
                <c:pt idx="26">
                  <c:v>4413.6000000000004</c:v>
                </c:pt>
                <c:pt idx="27">
                  <c:v>0</c:v>
                </c:pt>
                <c:pt idx="28">
                  <c:v>0</c:v>
                </c:pt>
              </c:numCache>
            </c:numRef>
          </c:val>
          <c:extLst>
            <c:ext xmlns:c16="http://schemas.microsoft.com/office/drawing/2014/chart" uri="{C3380CC4-5D6E-409C-BE32-E72D297353CC}">
              <c16:uniqueId val="{00000001-87AA-4A3B-BE18-532621775402}"/>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departamental'!$Q$2:$Q$31</c:f>
              <c:numCache>
                <c:formatCode>General</c:formatCode>
                <c:ptCount val="29"/>
                <c:pt idx="0">
                  <c:v>0</c:v>
                </c:pt>
                <c:pt idx="1">
                  <c:v>2009.5</c:v>
                </c:pt>
                <c:pt idx="2">
                  <c:v>0.1</c:v>
                </c:pt>
                <c:pt idx="3">
                  <c:v>764.3</c:v>
                </c:pt>
                <c:pt idx="4">
                  <c:v>1494.6</c:v>
                </c:pt>
                <c:pt idx="5">
                  <c:v>754.5</c:v>
                </c:pt>
                <c:pt idx="6">
                  <c:v>811.5</c:v>
                </c:pt>
                <c:pt idx="7">
                  <c:v>926.7</c:v>
                </c:pt>
                <c:pt idx="8">
                  <c:v>0</c:v>
                </c:pt>
                <c:pt idx="9">
                  <c:v>9.3000000000000007</c:v>
                </c:pt>
                <c:pt idx="10">
                  <c:v>692.7</c:v>
                </c:pt>
                <c:pt idx="11">
                  <c:v>17.899999999999999</c:v>
                </c:pt>
                <c:pt idx="12">
                  <c:v>13.8</c:v>
                </c:pt>
                <c:pt idx="13">
                  <c:v>1469.4</c:v>
                </c:pt>
                <c:pt idx="14">
                  <c:v>0</c:v>
                </c:pt>
                <c:pt idx="15">
                  <c:v>31.7</c:v>
                </c:pt>
                <c:pt idx="16">
                  <c:v>0.8</c:v>
                </c:pt>
                <c:pt idx="17">
                  <c:v>59.3</c:v>
                </c:pt>
                <c:pt idx="18">
                  <c:v>25.3</c:v>
                </c:pt>
                <c:pt idx="19">
                  <c:v>5.3</c:v>
                </c:pt>
                <c:pt idx="20">
                  <c:v>42</c:v>
                </c:pt>
                <c:pt idx="21">
                  <c:v>21.6</c:v>
                </c:pt>
                <c:pt idx="22">
                  <c:v>267.60000000000002</c:v>
                </c:pt>
                <c:pt idx="23">
                  <c:v>84.5</c:v>
                </c:pt>
                <c:pt idx="24">
                  <c:v>72.8</c:v>
                </c:pt>
                <c:pt idx="25">
                  <c:v>299.89999999999998</c:v>
                </c:pt>
                <c:pt idx="26">
                  <c:v>3601.4</c:v>
                </c:pt>
                <c:pt idx="27">
                  <c:v>0</c:v>
                </c:pt>
                <c:pt idx="28">
                  <c:v>0</c:v>
                </c:pt>
              </c:numCache>
            </c:numRef>
          </c:val>
          <c:extLst>
            <c:ext xmlns:c16="http://schemas.microsoft.com/office/drawing/2014/chart" uri="{C3380CC4-5D6E-409C-BE32-E72D297353CC}">
              <c16:uniqueId val="{00000002-87AA-4A3B-BE18-532621775402}"/>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departamental'!$R$2:$R$31</c:f>
              <c:numCache>
                <c:formatCode>General</c:formatCode>
                <c:ptCount val="29"/>
                <c:pt idx="0">
                  <c:v>0.61</c:v>
                </c:pt>
                <c:pt idx="1">
                  <c:v>1766.2664</c:v>
                </c:pt>
                <c:pt idx="2">
                  <c:v>0.13019999999999998</c:v>
                </c:pt>
                <c:pt idx="3">
                  <c:v>1517.751</c:v>
                </c:pt>
                <c:pt idx="4">
                  <c:v>875.15819999999997</c:v>
                </c:pt>
                <c:pt idx="5">
                  <c:v>1696.3887999999999</c:v>
                </c:pt>
                <c:pt idx="6">
                  <c:v>344.72309999999999</c:v>
                </c:pt>
                <c:pt idx="7">
                  <c:v>353.79329999999999</c:v>
                </c:pt>
                <c:pt idx="8">
                  <c:v>0.87320000000000009</c:v>
                </c:pt>
                <c:pt idx="9">
                  <c:v>28.308199999999999</c:v>
                </c:pt>
                <c:pt idx="10">
                  <c:v>571.39069999999992</c:v>
                </c:pt>
                <c:pt idx="11">
                  <c:v>37.704000000000001</c:v>
                </c:pt>
                <c:pt idx="12">
                  <c:v>24.927700000000002</c:v>
                </c:pt>
                <c:pt idx="13">
                  <c:v>1515.5303999999999</c:v>
                </c:pt>
                <c:pt idx="14">
                  <c:v>0</c:v>
                </c:pt>
                <c:pt idx="15">
                  <c:v>35.626400000000004</c:v>
                </c:pt>
                <c:pt idx="16">
                  <c:v>1.9794</c:v>
                </c:pt>
                <c:pt idx="17">
                  <c:v>50.4589</c:v>
                </c:pt>
                <c:pt idx="18">
                  <c:v>14.636100000000001</c:v>
                </c:pt>
                <c:pt idx="19">
                  <c:v>12.462899999999999</c:v>
                </c:pt>
                <c:pt idx="20">
                  <c:v>30.815300000000001</c:v>
                </c:pt>
                <c:pt idx="21">
                  <c:v>25.809799999999999</c:v>
                </c:pt>
                <c:pt idx="22">
                  <c:v>260.40309999999999</c:v>
                </c:pt>
                <c:pt idx="23">
                  <c:v>844.3066</c:v>
                </c:pt>
                <c:pt idx="24">
                  <c:v>65.128699999999995</c:v>
                </c:pt>
                <c:pt idx="25">
                  <c:v>320.38650000000001</c:v>
                </c:pt>
                <c:pt idx="26">
                  <c:v>2497.2293999999997</c:v>
                </c:pt>
                <c:pt idx="27">
                  <c:v>0</c:v>
                </c:pt>
                <c:pt idx="28">
                  <c:v>0</c:v>
                </c:pt>
              </c:numCache>
            </c:numRef>
          </c:val>
          <c:extLst>
            <c:ext xmlns:c16="http://schemas.microsoft.com/office/drawing/2014/chart" uri="{C3380CC4-5D6E-409C-BE32-E72D297353CC}">
              <c16:uniqueId val="{00000003-87AA-4A3B-BE18-532621775402}"/>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departamental'!$S$2:$S$31</c:f>
              <c:numCache>
                <c:formatCode>General</c:formatCode>
                <c:ptCount val="29"/>
                <c:pt idx="0">
                  <c:v>0.55386999999999997</c:v>
                </c:pt>
                <c:pt idx="1">
                  <c:v>1917.451</c:v>
                </c:pt>
                <c:pt idx="2">
                  <c:v>0</c:v>
                </c:pt>
                <c:pt idx="3">
                  <c:v>1791.3938000000001</c:v>
                </c:pt>
                <c:pt idx="4">
                  <c:v>883.66600000000005</c:v>
                </c:pt>
                <c:pt idx="5">
                  <c:v>1363.0195000000001</c:v>
                </c:pt>
                <c:pt idx="6">
                  <c:v>1673.2898</c:v>
                </c:pt>
                <c:pt idx="7">
                  <c:v>375.43279999999999</c:v>
                </c:pt>
                <c:pt idx="8">
                  <c:v>1.6112</c:v>
                </c:pt>
                <c:pt idx="9">
                  <c:v>33.922599999999996</c:v>
                </c:pt>
                <c:pt idx="10">
                  <c:v>877.34040000000005</c:v>
                </c:pt>
                <c:pt idx="11">
                  <c:v>34.727199999999996</c:v>
                </c:pt>
                <c:pt idx="12">
                  <c:v>29.643099999999997</c:v>
                </c:pt>
                <c:pt idx="13">
                  <c:v>1482.8205</c:v>
                </c:pt>
                <c:pt idx="14">
                  <c:v>0</c:v>
                </c:pt>
                <c:pt idx="15">
                  <c:v>20.383299999999998</c:v>
                </c:pt>
                <c:pt idx="16">
                  <c:v>0.68510000000000004</c:v>
                </c:pt>
                <c:pt idx="17">
                  <c:v>57.531999999999996</c:v>
                </c:pt>
                <c:pt idx="18">
                  <c:v>61.664300000000004</c:v>
                </c:pt>
                <c:pt idx="19">
                  <c:v>45.015500000000003</c:v>
                </c:pt>
                <c:pt idx="20">
                  <c:v>36.303699999999999</c:v>
                </c:pt>
                <c:pt idx="21">
                  <c:v>28.192599999999999</c:v>
                </c:pt>
                <c:pt idx="22">
                  <c:v>1604.3106</c:v>
                </c:pt>
                <c:pt idx="23">
                  <c:v>109.1978</c:v>
                </c:pt>
                <c:pt idx="24">
                  <c:v>51.952100000000002</c:v>
                </c:pt>
                <c:pt idx="25">
                  <c:v>290.6567</c:v>
                </c:pt>
                <c:pt idx="26">
                  <c:v>2438.0162</c:v>
                </c:pt>
                <c:pt idx="27">
                  <c:v>0</c:v>
                </c:pt>
                <c:pt idx="28">
                  <c:v>0</c:v>
                </c:pt>
              </c:numCache>
            </c:numRef>
          </c:val>
          <c:extLst>
            <c:ext xmlns:c16="http://schemas.microsoft.com/office/drawing/2014/chart" uri="{C3380CC4-5D6E-409C-BE32-E72D297353CC}">
              <c16:uniqueId val="{00000004-87AA-4A3B-BE18-532621775402}"/>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departamental'!$T$2:$T$31</c:f>
              <c:numCache>
                <c:formatCode>General</c:formatCode>
                <c:ptCount val="29"/>
                <c:pt idx="0">
                  <c:v>0.52915999999999996</c:v>
                </c:pt>
                <c:pt idx="1">
                  <c:v>1782.3498999999999</c:v>
                </c:pt>
                <c:pt idx="2">
                  <c:v>0.15480000000000002</c:v>
                </c:pt>
                <c:pt idx="3">
                  <c:v>689.07940000000008</c:v>
                </c:pt>
                <c:pt idx="4">
                  <c:v>950.88193000000001</c:v>
                </c:pt>
                <c:pt idx="5">
                  <c:v>1117.2814799999999</c:v>
                </c:pt>
                <c:pt idx="6">
                  <c:v>1023.5225600000001</c:v>
                </c:pt>
                <c:pt idx="7">
                  <c:v>386.86718999999999</c:v>
                </c:pt>
                <c:pt idx="8">
                  <c:v>2.06731</c:v>
                </c:pt>
                <c:pt idx="9">
                  <c:v>246.84795000000003</c:v>
                </c:pt>
                <c:pt idx="10">
                  <c:v>735.09662000000003</c:v>
                </c:pt>
                <c:pt idx="11">
                  <c:v>11.42451</c:v>
                </c:pt>
                <c:pt idx="12">
                  <c:v>27.018330000000002</c:v>
                </c:pt>
                <c:pt idx="13">
                  <c:v>1505.40255</c:v>
                </c:pt>
                <c:pt idx="14">
                  <c:v>2.0800000000000003E-3</c:v>
                </c:pt>
                <c:pt idx="15">
                  <c:v>32.536450000000002</c:v>
                </c:pt>
                <c:pt idx="16">
                  <c:v>0.88599000000000006</c:v>
                </c:pt>
                <c:pt idx="17">
                  <c:v>60.656279999999995</c:v>
                </c:pt>
                <c:pt idx="18">
                  <c:v>100.74181</c:v>
                </c:pt>
                <c:pt idx="19">
                  <c:v>48.91207</c:v>
                </c:pt>
                <c:pt idx="20">
                  <c:v>513.60279000000003</c:v>
                </c:pt>
                <c:pt idx="21">
                  <c:v>25.849990000000002</c:v>
                </c:pt>
                <c:pt idx="22">
                  <c:v>281.82428999999996</c:v>
                </c:pt>
                <c:pt idx="23">
                  <c:v>705.82696999999996</c:v>
                </c:pt>
                <c:pt idx="24">
                  <c:v>3.6970500000000004</c:v>
                </c:pt>
                <c:pt idx="25">
                  <c:v>315.02584000000002</c:v>
                </c:pt>
                <c:pt idx="26">
                  <c:v>2589.4201200000002</c:v>
                </c:pt>
                <c:pt idx="27">
                  <c:v>0</c:v>
                </c:pt>
                <c:pt idx="28">
                  <c:v>9.0639999999999998E-2</c:v>
                </c:pt>
              </c:numCache>
            </c:numRef>
          </c:val>
          <c:extLst>
            <c:ext xmlns:c16="http://schemas.microsoft.com/office/drawing/2014/chart" uri="{C3380CC4-5D6E-409C-BE32-E72D297353CC}">
              <c16:uniqueId val="{00000005-87AA-4A3B-BE18-532621775402}"/>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departamental'!$U$2:$U$31</c:f>
              <c:numCache>
                <c:formatCode>General</c:formatCode>
                <c:ptCount val="29"/>
                <c:pt idx="0">
                  <c:v>0.1</c:v>
                </c:pt>
                <c:pt idx="1">
                  <c:v>2225.5</c:v>
                </c:pt>
                <c:pt idx="2">
                  <c:v>0</c:v>
                </c:pt>
                <c:pt idx="3">
                  <c:v>677</c:v>
                </c:pt>
                <c:pt idx="4">
                  <c:v>833.6</c:v>
                </c:pt>
                <c:pt idx="5">
                  <c:v>1816.9</c:v>
                </c:pt>
                <c:pt idx="6">
                  <c:v>721.6</c:v>
                </c:pt>
                <c:pt idx="7">
                  <c:v>1318.6</c:v>
                </c:pt>
                <c:pt idx="8">
                  <c:v>2.2000000000000002</c:v>
                </c:pt>
                <c:pt idx="9">
                  <c:v>55.6</c:v>
                </c:pt>
                <c:pt idx="10">
                  <c:v>672.4</c:v>
                </c:pt>
                <c:pt idx="11">
                  <c:v>43.8</c:v>
                </c:pt>
                <c:pt idx="12">
                  <c:v>36.9</c:v>
                </c:pt>
                <c:pt idx="13">
                  <c:v>1798.3</c:v>
                </c:pt>
                <c:pt idx="14">
                  <c:v>0</c:v>
                </c:pt>
                <c:pt idx="15">
                  <c:v>45.9</c:v>
                </c:pt>
                <c:pt idx="16">
                  <c:v>0.4</c:v>
                </c:pt>
                <c:pt idx="17">
                  <c:v>50.2</c:v>
                </c:pt>
                <c:pt idx="18">
                  <c:v>115.3</c:v>
                </c:pt>
                <c:pt idx="19">
                  <c:v>8.5</c:v>
                </c:pt>
                <c:pt idx="20">
                  <c:v>58.1</c:v>
                </c:pt>
                <c:pt idx="21">
                  <c:v>34.299999999999997</c:v>
                </c:pt>
                <c:pt idx="22">
                  <c:v>171.6</c:v>
                </c:pt>
                <c:pt idx="23">
                  <c:v>57.2</c:v>
                </c:pt>
                <c:pt idx="24">
                  <c:v>42.7</c:v>
                </c:pt>
                <c:pt idx="25">
                  <c:v>86.8</c:v>
                </c:pt>
                <c:pt idx="26">
                  <c:v>2214.1</c:v>
                </c:pt>
                <c:pt idx="27">
                  <c:v>0</c:v>
                </c:pt>
                <c:pt idx="28">
                  <c:v>0.1</c:v>
                </c:pt>
              </c:numCache>
            </c:numRef>
          </c:val>
          <c:extLst>
            <c:ext xmlns:c16="http://schemas.microsoft.com/office/drawing/2014/chart" uri="{C3380CC4-5D6E-409C-BE32-E72D297353CC}">
              <c16:uniqueId val="{00000006-87AA-4A3B-BE18-532621775402}"/>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departamental'!$V$2:$V$31</c:f>
              <c:numCache>
                <c:formatCode>General</c:formatCode>
                <c:ptCount val="29"/>
                <c:pt idx="0">
                  <c:v>0.4</c:v>
                </c:pt>
                <c:pt idx="1">
                  <c:v>1809</c:v>
                </c:pt>
                <c:pt idx="2">
                  <c:v>0.1</c:v>
                </c:pt>
                <c:pt idx="3">
                  <c:v>1847.1</c:v>
                </c:pt>
                <c:pt idx="4">
                  <c:v>839.4</c:v>
                </c:pt>
                <c:pt idx="5">
                  <c:v>1922.7</c:v>
                </c:pt>
                <c:pt idx="6">
                  <c:v>844.1</c:v>
                </c:pt>
                <c:pt idx="7">
                  <c:v>414.2</c:v>
                </c:pt>
                <c:pt idx="8">
                  <c:v>2.2999999999999998</c:v>
                </c:pt>
                <c:pt idx="9">
                  <c:v>45.5</c:v>
                </c:pt>
                <c:pt idx="10">
                  <c:v>715.6</c:v>
                </c:pt>
                <c:pt idx="11">
                  <c:v>38.299999999999997</c:v>
                </c:pt>
                <c:pt idx="12">
                  <c:v>26.1</c:v>
                </c:pt>
                <c:pt idx="13">
                  <c:v>1982.2</c:v>
                </c:pt>
                <c:pt idx="14">
                  <c:v>5.1000000000000004E-4</c:v>
                </c:pt>
                <c:pt idx="15">
                  <c:v>50.1</c:v>
                </c:pt>
                <c:pt idx="16">
                  <c:v>0.7</c:v>
                </c:pt>
                <c:pt idx="17">
                  <c:v>42.3</c:v>
                </c:pt>
                <c:pt idx="18">
                  <c:v>69.7</c:v>
                </c:pt>
                <c:pt idx="19">
                  <c:v>11.4</c:v>
                </c:pt>
                <c:pt idx="20">
                  <c:v>42.3</c:v>
                </c:pt>
                <c:pt idx="21">
                  <c:v>27.8</c:v>
                </c:pt>
                <c:pt idx="22">
                  <c:v>173.2</c:v>
                </c:pt>
                <c:pt idx="23">
                  <c:v>149.1</c:v>
                </c:pt>
                <c:pt idx="24">
                  <c:v>51.9</c:v>
                </c:pt>
                <c:pt idx="25">
                  <c:v>3458.4</c:v>
                </c:pt>
                <c:pt idx="26">
                  <c:v>2858.2</c:v>
                </c:pt>
                <c:pt idx="27">
                  <c:v>0</c:v>
                </c:pt>
                <c:pt idx="28">
                  <c:v>0</c:v>
                </c:pt>
              </c:numCache>
            </c:numRef>
          </c:val>
          <c:extLst>
            <c:ext xmlns:c16="http://schemas.microsoft.com/office/drawing/2014/chart" uri="{C3380CC4-5D6E-409C-BE32-E72D297353CC}">
              <c16:uniqueId val="{00000007-87AA-4A3B-BE18-532621775402}"/>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VAUPES</c:v>
                </c:pt>
                <c:pt idx="28">
                  <c:v>VICHADA</c:v>
                </c:pt>
              </c:strCache>
            </c:strRef>
          </c:cat>
          <c:val>
            <c:numRef>
              <c:f>'Grafica departamental'!$W$2:$W$31</c:f>
              <c:numCache>
                <c:formatCode>General</c:formatCode>
                <c:ptCount val="29"/>
                <c:pt idx="0">
                  <c:v>0.57553500000000002</c:v>
                </c:pt>
                <c:pt idx="1">
                  <c:v>2168.852797</c:v>
                </c:pt>
                <c:pt idx="2">
                  <c:v>4.9436000000000001E-2</c:v>
                </c:pt>
                <c:pt idx="3">
                  <c:v>953.51875199999995</c:v>
                </c:pt>
                <c:pt idx="4">
                  <c:v>872.08342500000003</c:v>
                </c:pt>
                <c:pt idx="5">
                  <c:v>1240.715183</c:v>
                </c:pt>
                <c:pt idx="6">
                  <c:v>937.74216799999999</c:v>
                </c:pt>
                <c:pt idx="7">
                  <c:v>447.79056500000002</c:v>
                </c:pt>
                <c:pt idx="8">
                  <c:v>2.153416</c:v>
                </c:pt>
                <c:pt idx="9">
                  <c:v>60.072338000000002</c:v>
                </c:pt>
                <c:pt idx="10">
                  <c:v>735.08265600000004</c:v>
                </c:pt>
                <c:pt idx="11">
                  <c:v>44.936357000000001</c:v>
                </c:pt>
                <c:pt idx="12">
                  <c:v>0</c:v>
                </c:pt>
                <c:pt idx="13">
                  <c:v>2195.3362229999998</c:v>
                </c:pt>
                <c:pt idx="14">
                  <c:v>41.575760000000002</c:v>
                </c:pt>
                <c:pt idx="15">
                  <c:v>56.548462000000001</c:v>
                </c:pt>
                <c:pt idx="16">
                  <c:v>1.014912</c:v>
                </c:pt>
                <c:pt idx="17">
                  <c:v>64.380972999999997</c:v>
                </c:pt>
                <c:pt idx="18">
                  <c:v>48.763159000000002</c:v>
                </c:pt>
                <c:pt idx="19">
                  <c:v>9.6800219999999992</c:v>
                </c:pt>
                <c:pt idx="20">
                  <c:v>40.111448000000003</c:v>
                </c:pt>
                <c:pt idx="21">
                  <c:v>29.680016999999999</c:v>
                </c:pt>
                <c:pt idx="22">
                  <c:v>303.65776199999999</c:v>
                </c:pt>
                <c:pt idx="23">
                  <c:v>837.50277600000004</c:v>
                </c:pt>
                <c:pt idx="24">
                  <c:v>60.285167000000001</c:v>
                </c:pt>
                <c:pt idx="25">
                  <c:v>153.90311700000001</c:v>
                </c:pt>
                <c:pt idx="26">
                  <c:v>3020.3199770000001</c:v>
                </c:pt>
                <c:pt idx="27">
                  <c:v>0</c:v>
                </c:pt>
                <c:pt idx="28">
                  <c:v>5.3000000000000001E-5</c:v>
                </c:pt>
              </c:numCache>
            </c:numRef>
          </c:val>
          <c:extLst>
            <c:ext xmlns:c16="http://schemas.microsoft.com/office/drawing/2014/chart" uri="{C3380CC4-5D6E-409C-BE32-E72D297353CC}">
              <c16:uniqueId val="{00000008-87AA-4A3B-BE18-532621775402}"/>
            </c:ext>
          </c:extLst>
        </c:ser>
        <c:dLbls>
          <c:showLegendKey val="0"/>
          <c:showVal val="0"/>
          <c:showCatName val="0"/>
          <c:showSerName val="0"/>
          <c:showPercent val="0"/>
          <c:showBubbleSize val="0"/>
        </c:dLbls>
        <c:gapWidth val="219"/>
        <c:overlap val="-27"/>
        <c:axId val="443268288"/>
        <c:axId val="443271200"/>
      </c:barChart>
      <c:catAx>
        <c:axId val="443268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3271200"/>
        <c:crosses val="autoZero"/>
        <c:auto val="1"/>
        <c:lblAlgn val="ctr"/>
        <c:lblOffset val="100"/>
        <c:noMultiLvlLbl val="0"/>
      </c:catAx>
      <c:valAx>
        <c:axId val="443271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Consumo de energía eléctrica - Gigavatio hora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32682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[D-consumo-de-energia-electrica-en-el-sector-manufacturero.xlsx]Grafica AA!TablaDinámica2</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AA'!$O$2:$O$42</c:f>
              <c:numCache>
                <c:formatCode>General</c:formatCode>
                <c:ptCount val="40"/>
                <c:pt idx="0">
                  <c:v>0</c:v>
                </c:pt>
                <c:pt idx="1">
                  <c:v>1400.3</c:v>
                </c:pt>
                <c:pt idx="2">
                  <c:v>0</c:v>
                </c:pt>
                <c:pt idx="3">
                  <c:v>386</c:v>
                </c:pt>
                <c:pt idx="4">
                  <c:v>3905</c:v>
                </c:pt>
                <c:pt idx="5">
                  <c:v>274.60000000000002</c:v>
                </c:pt>
                <c:pt idx="6">
                  <c:v>8.8000000000000007</c:v>
                </c:pt>
                <c:pt idx="7">
                  <c:v>61.7</c:v>
                </c:pt>
                <c:pt idx="8">
                  <c:v>25.4</c:v>
                </c:pt>
                <c:pt idx="9">
                  <c:v>0</c:v>
                </c:pt>
                <c:pt idx="10">
                  <c:v>347.8</c:v>
                </c:pt>
                <c:pt idx="11">
                  <c:v>268.5</c:v>
                </c:pt>
                <c:pt idx="12">
                  <c:v>15.1</c:v>
                </c:pt>
                <c:pt idx="13">
                  <c:v>420.1</c:v>
                </c:pt>
                <c:pt idx="14">
                  <c:v>14.7</c:v>
                </c:pt>
                <c:pt idx="15">
                  <c:v>0.5</c:v>
                </c:pt>
                <c:pt idx="16">
                  <c:v>681.1</c:v>
                </c:pt>
                <c:pt idx="17">
                  <c:v>300.39999999999998</c:v>
                </c:pt>
                <c:pt idx="18">
                  <c:v>33.200000000000003</c:v>
                </c:pt>
                <c:pt idx="19">
                  <c:v>0.4</c:v>
                </c:pt>
                <c:pt idx="20">
                  <c:v>0.6</c:v>
                </c:pt>
                <c:pt idx="21">
                  <c:v>0</c:v>
                </c:pt>
                <c:pt idx="22">
                  <c:v>0</c:v>
                </c:pt>
                <c:pt idx="23">
                  <c:v>1.9</c:v>
                </c:pt>
                <c:pt idx="24">
                  <c:v>48.1</c:v>
                </c:pt>
                <c:pt idx="25">
                  <c:v>6.7</c:v>
                </c:pt>
                <c:pt idx="26">
                  <c:v>9</c:v>
                </c:pt>
                <c:pt idx="27">
                  <c:v>312.89999999999998</c:v>
                </c:pt>
                <c:pt idx="28">
                  <c:v>187.2</c:v>
                </c:pt>
                <c:pt idx="29">
                  <c:v>715.9</c:v>
                </c:pt>
                <c:pt idx="30">
                  <c:v>23.2</c:v>
                </c:pt>
                <c:pt idx="31">
                  <c:v>0</c:v>
                </c:pt>
                <c:pt idx="32">
                  <c:v>9268.7999999999993</c:v>
                </c:pt>
                <c:pt idx="33">
                  <c:v>17.7</c:v>
                </c:pt>
                <c:pt idx="34">
                  <c:v>22.6</c:v>
                </c:pt>
                <c:pt idx="35">
                  <c:v>314.5</c:v>
                </c:pt>
                <c:pt idx="36">
                  <c:v>446.3</c:v>
                </c:pt>
                <c:pt idx="37">
                  <c:v>0.8</c:v>
                </c:pt>
                <c:pt idx="38">
                  <c:v>597.29999999999995</c:v>
                </c:pt>
                <c:pt idx="39">
                  <c:v>2820.9</c:v>
                </c:pt>
              </c:numCache>
            </c:numRef>
          </c:val>
          <c:extLst>
            <c:ext xmlns:c16="http://schemas.microsoft.com/office/drawing/2014/chart" uri="{C3380CC4-5D6E-409C-BE32-E72D297353CC}">
              <c16:uniqueId val="{00000001-3C3F-443E-9C55-1CF1C496A6B2}"/>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AA'!$P$2:$P$42</c:f>
              <c:numCache>
                <c:formatCode>General</c:formatCode>
                <c:ptCount val="40"/>
                <c:pt idx="0">
                  <c:v>0.2</c:v>
                </c:pt>
                <c:pt idx="1">
                  <c:v>1330.4</c:v>
                </c:pt>
                <c:pt idx="2">
                  <c:v>0</c:v>
                </c:pt>
                <c:pt idx="3">
                  <c:v>33.700000000000003</c:v>
                </c:pt>
                <c:pt idx="4">
                  <c:v>1764.5</c:v>
                </c:pt>
                <c:pt idx="5">
                  <c:v>265</c:v>
                </c:pt>
                <c:pt idx="6">
                  <c:v>25</c:v>
                </c:pt>
                <c:pt idx="7">
                  <c:v>77</c:v>
                </c:pt>
                <c:pt idx="8">
                  <c:v>9.5</c:v>
                </c:pt>
                <c:pt idx="9">
                  <c:v>0</c:v>
                </c:pt>
                <c:pt idx="10">
                  <c:v>73</c:v>
                </c:pt>
                <c:pt idx="11">
                  <c:v>498.6</c:v>
                </c:pt>
                <c:pt idx="12">
                  <c:v>14.6</c:v>
                </c:pt>
                <c:pt idx="13">
                  <c:v>487.9</c:v>
                </c:pt>
                <c:pt idx="14">
                  <c:v>24.3</c:v>
                </c:pt>
                <c:pt idx="15">
                  <c:v>0</c:v>
                </c:pt>
                <c:pt idx="16">
                  <c:v>560.5</c:v>
                </c:pt>
                <c:pt idx="17">
                  <c:v>338.7</c:v>
                </c:pt>
                <c:pt idx="18">
                  <c:v>18.5</c:v>
                </c:pt>
                <c:pt idx="19">
                  <c:v>0.5</c:v>
                </c:pt>
                <c:pt idx="20">
                  <c:v>0.8</c:v>
                </c:pt>
                <c:pt idx="21">
                  <c:v>0</c:v>
                </c:pt>
                <c:pt idx="22">
                  <c:v>0</c:v>
                </c:pt>
                <c:pt idx="23">
                  <c:v>3.2</c:v>
                </c:pt>
                <c:pt idx="24">
                  <c:v>45.5</c:v>
                </c:pt>
                <c:pt idx="25">
                  <c:v>10.199999999999999</c:v>
                </c:pt>
                <c:pt idx="26">
                  <c:v>12.6</c:v>
                </c:pt>
                <c:pt idx="27">
                  <c:v>37.299999999999997</c:v>
                </c:pt>
                <c:pt idx="28">
                  <c:v>184.2</c:v>
                </c:pt>
                <c:pt idx="29">
                  <c:v>829</c:v>
                </c:pt>
                <c:pt idx="30">
                  <c:v>503.5</c:v>
                </c:pt>
                <c:pt idx="31">
                  <c:v>0</c:v>
                </c:pt>
                <c:pt idx="32">
                  <c:v>4177.2</c:v>
                </c:pt>
                <c:pt idx="33">
                  <c:v>22.6</c:v>
                </c:pt>
                <c:pt idx="34">
                  <c:v>34.9</c:v>
                </c:pt>
                <c:pt idx="35">
                  <c:v>235.7</c:v>
                </c:pt>
                <c:pt idx="36">
                  <c:v>382.9</c:v>
                </c:pt>
                <c:pt idx="37">
                  <c:v>0.8</c:v>
                </c:pt>
                <c:pt idx="38">
                  <c:v>884.7</c:v>
                </c:pt>
                <c:pt idx="39">
                  <c:v>945.3</c:v>
                </c:pt>
              </c:numCache>
            </c:numRef>
          </c:val>
          <c:extLst>
            <c:ext xmlns:c16="http://schemas.microsoft.com/office/drawing/2014/chart" uri="{C3380CC4-5D6E-409C-BE32-E72D297353CC}">
              <c16:uniqueId val="{00000002-3C3F-443E-9C55-1CF1C496A6B2}"/>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AA'!$Q$2:$Q$42</c:f>
              <c:numCache>
                <c:formatCode>General</c:formatCode>
                <c:ptCount val="40"/>
                <c:pt idx="0">
                  <c:v>0.2</c:v>
                </c:pt>
                <c:pt idx="1">
                  <c:v>1170.8</c:v>
                </c:pt>
                <c:pt idx="2">
                  <c:v>0</c:v>
                </c:pt>
                <c:pt idx="3">
                  <c:v>31.7</c:v>
                </c:pt>
                <c:pt idx="4">
                  <c:v>1486.2</c:v>
                </c:pt>
                <c:pt idx="5">
                  <c:v>267.60000000000002</c:v>
                </c:pt>
                <c:pt idx="6">
                  <c:v>24.2</c:v>
                </c:pt>
                <c:pt idx="7">
                  <c:v>72.8</c:v>
                </c:pt>
                <c:pt idx="8">
                  <c:v>1.3</c:v>
                </c:pt>
                <c:pt idx="9">
                  <c:v>0</c:v>
                </c:pt>
                <c:pt idx="10">
                  <c:v>83</c:v>
                </c:pt>
                <c:pt idx="11">
                  <c:v>152.80000000000001</c:v>
                </c:pt>
                <c:pt idx="12">
                  <c:v>25.3</c:v>
                </c:pt>
                <c:pt idx="13">
                  <c:v>393</c:v>
                </c:pt>
                <c:pt idx="14">
                  <c:v>23.2</c:v>
                </c:pt>
                <c:pt idx="15">
                  <c:v>0</c:v>
                </c:pt>
                <c:pt idx="16">
                  <c:v>810.9</c:v>
                </c:pt>
                <c:pt idx="17">
                  <c:v>926.7</c:v>
                </c:pt>
                <c:pt idx="18">
                  <c:v>17.899999999999999</c:v>
                </c:pt>
                <c:pt idx="19">
                  <c:v>0.6</c:v>
                </c:pt>
                <c:pt idx="20">
                  <c:v>0.8</c:v>
                </c:pt>
                <c:pt idx="21">
                  <c:v>0</c:v>
                </c:pt>
                <c:pt idx="22">
                  <c:v>0</c:v>
                </c:pt>
                <c:pt idx="23">
                  <c:v>5.3</c:v>
                </c:pt>
                <c:pt idx="24">
                  <c:v>42</c:v>
                </c:pt>
                <c:pt idx="25">
                  <c:v>9.5</c:v>
                </c:pt>
                <c:pt idx="26">
                  <c:v>292.89999999999998</c:v>
                </c:pt>
                <c:pt idx="27">
                  <c:v>299.89999999999998</c:v>
                </c:pt>
                <c:pt idx="28">
                  <c:v>484.6</c:v>
                </c:pt>
                <c:pt idx="29">
                  <c:v>692.7</c:v>
                </c:pt>
                <c:pt idx="30">
                  <c:v>21.6</c:v>
                </c:pt>
                <c:pt idx="31">
                  <c:v>0</c:v>
                </c:pt>
                <c:pt idx="32">
                  <c:v>3187.4</c:v>
                </c:pt>
                <c:pt idx="33">
                  <c:v>13.8</c:v>
                </c:pt>
                <c:pt idx="34">
                  <c:v>36.1</c:v>
                </c:pt>
                <c:pt idx="35">
                  <c:v>413.2</c:v>
                </c:pt>
                <c:pt idx="36">
                  <c:v>279.7</c:v>
                </c:pt>
                <c:pt idx="37">
                  <c:v>0.7</c:v>
                </c:pt>
                <c:pt idx="38">
                  <c:v>730.3</c:v>
                </c:pt>
                <c:pt idx="39">
                  <c:v>1477.9</c:v>
                </c:pt>
              </c:numCache>
            </c:numRef>
          </c:val>
          <c:extLst>
            <c:ext xmlns:c16="http://schemas.microsoft.com/office/drawing/2014/chart" uri="{C3380CC4-5D6E-409C-BE32-E72D297353CC}">
              <c16:uniqueId val="{00000003-3C3F-443E-9C55-1CF1C496A6B2}"/>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AA'!$R$2:$R$42</c:f>
              <c:numCache>
                <c:formatCode>General</c:formatCode>
                <c:ptCount val="40"/>
                <c:pt idx="0">
                  <c:v>0.8</c:v>
                </c:pt>
                <c:pt idx="1">
                  <c:v>1442.1</c:v>
                </c:pt>
                <c:pt idx="2">
                  <c:v>1512.6</c:v>
                </c:pt>
                <c:pt idx="3">
                  <c:v>35.6</c:v>
                </c:pt>
                <c:pt idx="4">
                  <c:v>1567.5</c:v>
                </c:pt>
                <c:pt idx="5">
                  <c:v>260.39999999999998</c:v>
                </c:pt>
                <c:pt idx="6">
                  <c:v>43.3</c:v>
                </c:pt>
                <c:pt idx="7">
                  <c:v>65.099999999999994</c:v>
                </c:pt>
                <c:pt idx="8">
                  <c:v>12.5</c:v>
                </c:pt>
                <c:pt idx="9">
                  <c:v>0</c:v>
                </c:pt>
                <c:pt idx="10">
                  <c:v>89.7</c:v>
                </c:pt>
                <c:pt idx="11">
                  <c:v>307.5</c:v>
                </c:pt>
                <c:pt idx="12">
                  <c:v>21.6</c:v>
                </c:pt>
                <c:pt idx="13">
                  <c:v>250.8</c:v>
                </c:pt>
                <c:pt idx="14">
                  <c:v>13</c:v>
                </c:pt>
                <c:pt idx="15">
                  <c:v>1.5</c:v>
                </c:pt>
                <c:pt idx="16">
                  <c:v>344.6</c:v>
                </c:pt>
                <c:pt idx="17">
                  <c:v>353.8</c:v>
                </c:pt>
                <c:pt idx="18">
                  <c:v>37.700000000000003</c:v>
                </c:pt>
                <c:pt idx="19">
                  <c:v>0.1</c:v>
                </c:pt>
                <c:pt idx="20">
                  <c:v>2</c:v>
                </c:pt>
                <c:pt idx="21">
                  <c:v>0</c:v>
                </c:pt>
                <c:pt idx="22">
                  <c:v>0</c:v>
                </c:pt>
                <c:pt idx="23">
                  <c:v>12.5</c:v>
                </c:pt>
                <c:pt idx="24">
                  <c:v>68.3</c:v>
                </c:pt>
                <c:pt idx="25">
                  <c:v>28.4</c:v>
                </c:pt>
                <c:pt idx="26">
                  <c:v>10.6</c:v>
                </c:pt>
                <c:pt idx="27">
                  <c:v>320.39999999999998</c:v>
                </c:pt>
                <c:pt idx="28">
                  <c:v>649.9</c:v>
                </c:pt>
                <c:pt idx="29">
                  <c:v>571.4</c:v>
                </c:pt>
                <c:pt idx="30">
                  <c:v>26.3</c:v>
                </c:pt>
                <c:pt idx="31">
                  <c:v>0</c:v>
                </c:pt>
                <c:pt idx="32">
                  <c:v>2214.6</c:v>
                </c:pt>
                <c:pt idx="33">
                  <c:v>24.9</c:v>
                </c:pt>
                <c:pt idx="34">
                  <c:v>37.9</c:v>
                </c:pt>
                <c:pt idx="35">
                  <c:v>333.4</c:v>
                </c:pt>
                <c:pt idx="36">
                  <c:v>458.9</c:v>
                </c:pt>
                <c:pt idx="37">
                  <c:v>0.6</c:v>
                </c:pt>
                <c:pt idx="38">
                  <c:v>925.4</c:v>
                </c:pt>
                <c:pt idx="39">
                  <c:v>847.1</c:v>
                </c:pt>
              </c:numCache>
            </c:numRef>
          </c:val>
          <c:extLst>
            <c:ext xmlns:c16="http://schemas.microsoft.com/office/drawing/2014/chart" uri="{C3380CC4-5D6E-409C-BE32-E72D297353CC}">
              <c16:uniqueId val="{00000004-3C3F-443E-9C55-1CF1C496A6B2}"/>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AA'!$S$2:$S$42</c:f>
              <c:numCache>
                <c:formatCode>General</c:formatCode>
                <c:ptCount val="40"/>
                <c:pt idx="0">
                  <c:v>0.5</c:v>
                </c:pt>
                <c:pt idx="1">
                  <c:v>1854.5</c:v>
                </c:pt>
                <c:pt idx="2">
                  <c:v>35.5</c:v>
                </c:pt>
                <c:pt idx="3">
                  <c:v>20.399999999999999</c:v>
                </c:pt>
                <c:pt idx="4">
                  <c:v>1730.6</c:v>
                </c:pt>
                <c:pt idx="5">
                  <c:v>604.29999999999995</c:v>
                </c:pt>
                <c:pt idx="6">
                  <c:v>32.200000000000003</c:v>
                </c:pt>
                <c:pt idx="7">
                  <c:v>52</c:v>
                </c:pt>
                <c:pt idx="8">
                  <c:v>15.7</c:v>
                </c:pt>
                <c:pt idx="9">
                  <c:v>0</c:v>
                </c:pt>
                <c:pt idx="10">
                  <c:v>962.42</c:v>
                </c:pt>
                <c:pt idx="11">
                  <c:v>184</c:v>
                </c:pt>
                <c:pt idx="12">
                  <c:v>61.7</c:v>
                </c:pt>
                <c:pt idx="13">
                  <c:v>164.6</c:v>
                </c:pt>
                <c:pt idx="14">
                  <c:v>20.100000000000001</c:v>
                </c:pt>
                <c:pt idx="15">
                  <c:v>2.2000000000000002</c:v>
                </c:pt>
                <c:pt idx="16">
                  <c:v>1672.7</c:v>
                </c:pt>
                <c:pt idx="17">
                  <c:v>375.4</c:v>
                </c:pt>
                <c:pt idx="18">
                  <c:v>34.700000000000003</c:v>
                </c:pt>
                <c:pt idx="19">
                  <c:v>0.5</c:v>
                </c:pt>
                <c:pt idx="20">
                  <c:v>0.68</c:v>
                </c:pt>
                <c:pt idx="21">
                  <c:v>0</c:v>
                </c:pt>
                <c:pt idx="22">
                  <c:v>0</c:v>
                </c:pt>
                <c:pt idx="23">
                  <c:v>45</c:v>
                </c:pt>
                <c:pt idx="24">
                  <c:v>506.4</c:v>
                </c:pt>
                <c:pt idx="25">
                  <c:v>34</c:v>
                </c:pt>
                <c:pt idx="26">
                  <c:v>10.199999999999999</c:v>
                </c:pt>
                <c:pt idx="27">
                  <c:v>290.7</c:v>
                </c:pt>
                <c:pt idx="28">
                  <c:v>328.2</c:v>
                </c:pt>
                <c:pt idx="29">
                  <c:v>877.3</c:v>
                </c:pt>
                <c:pt idx="30">
                  <c:v>28.8</c:v>
                </c:pt>
                <c:pt idx="31">
                  <c:v>0</c:v>
                </c:pt>
                <c:pt idx="32">
                  <c:v>2159.8000000000002</c:v>
                </c:pt>
                <c:pt idx="33">
                  <c:v>28.6</c:v>
                </c:pt>
                <c:pt idx="34">
                  <c:v>37.4</c:v>
                </c:pt>
                <c:pt idx="35">
                  <c:v>284.39999999999998</c:v>
                </c:pt>
                <c:pt idx="36">
                  <c:v>543.5</c:v>
                </c:pt>
                <c:pt idx="37">
                  <c:v>0.7</c:v>
                </c:pt>
                <c:pt idx="38">
                  <c:v>1330.9</c:v>
                </c:pt>
                <c:pt idx="39">
                  <c:v>878.2</c:v>
                </c:pt>
              </c:numCache>
            </c:numRef>
          </c:val>
          <c:extLst>
            <c:ext xmlns:c16="http://schemas.microsoft.com/office/drawing/2014/chart" uri="{C3380CC4-5D6E-409C-BE32-E72D297353CC}">
              <c16:uniqueId val="{00000005-3C3F-443E-9C55-1CF1C496A6B2}"/>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AA'!$T$2:$T$42</c:f>
              <c:numCache>
                <c:formatCode>General</c:formatCode>
                <c:ptCount val="40"/>
                <c:pt idx="0">
                  <c:v>0.5</c:v>
                </c:pt>
                <c:pt idx="1">
                  <c:v>1085.9000000000001</c:v>
                </c:pt>
                <c:pt idx="2">
                  <c:v>714.2</c:v>
                </c:pt>
                <c:pt idx="3">
                  <c:v>32.5</c:v>
                </c:pt>
                <c:pt idx="4">
                  <c:v>1522.8</c:v>
                </c:pt>
                <c:pt idx="5">
                  <c:v>281.8</c:v>
                </c:pt>
                <c:pt idx="6">
                  <c:v>61.4</c:v>
                </c:pt>
                <c:pt idx="7">
                  <c:v>3.7</c:v>
                </c:pt>
                <c:pt idx="8">
                  <c:v>11.2</c:v>
                </c:pt>
                <c:pt idx="9">
                  <c:v>0</c:v>
                </c:pt>
                <c:pt idx="10">
                  <c:v>23.8</c:v>
                </c:pt>
                <c:pt idx="11">
                  <c:v>230.4</c:v>
                </c:pt>
                <c:pt idx="12">
                  <c:v>100.7</c:v>
                </c:pt>
                <c:pt idx="13">
                  <c:v>452.6</c:v>
                </c:pt>
                <c:pt idx="14">
                  <c:v>50.2</c:v>
                </c:pt>
                <c:pt idx="15">
                  <c:v>2.6</c:v>
                </c:pt>
                <c:pt idx="16">
                  <c:v>1023.1</c:v>
                </c:pt>
                <c:pt idx="17">
                  <c:v>386.9</c:v>
                </c:pt>
                <c:pt idx="18">
                  <c:v>11.4</c:v>
                </c:pt>
                <c:pt idx="19">
                  <c:v>0</c:v>
                </c:pt>
                <c:pt idx="20">
                  <c:v>0.9</c:v>
                </c:pt>
                <c:pt idx="21">
                  <c:v>0</c:v>
                </c:pt>
                <c:pt idx="22">
                  <c:v>0</c:v>
                </c:pt>
                <c:pt idx="23">
                  <c:v>48.9</c:v>
                </c:pt>
                <c:pt idx="24">
                  <c:v>513.6</c:v>
                </c:pt>
                <c:pt idx="25">
                  <c:v>247</c:v>
                </c:pt>
                <c:pt idx="26">
                  <c:v>8.1</c:v>
                </c:pt>
                <c:pt idx="27">
                  <c:v>313.8</c:v>
                </c:pt>
                <c:pt idx="28">
                  <c:v>255.3</c:v>
                </c:pt>
                <c:pt idx="29">
                  <c:v>735.1</c:v>
                </c:pt>
                <c:pt idx="30">
                  <c:v>25.8</c:v>
                </c:pt>
                <c:pt idx="31">
                  <c:v>0</c:v>
                </c:pt>
                <c:pt idx="32">
                  <c:v>2292.1999999999998</c:v>
                </c:pt>
                <c:pt idx="33">
                  <c:v>27</c:v>
                </c:pt>
                <c:pt idx="34">
                  <c:v>10.4</c:v>
                </c:pt>
                <c:pt idx="35">
                  <c:v>296.5</c:v>
                </c:pt>
                <c:pt idx="36">
                  <c:v>405.8</c:v>
                </c:pt>
                <c:pt idx="37">
                  <c:v>0.7</c:v>
                </c:pt>
                <c:pt idx="38">
                  <c:v>1048.5</c:v>
                </c:pt>
                <c:pt idx="39">
                  <c:v>931.5</c:v>
                </c:pt>
              </c:numCache>
            </c:numRef>
          </c:val>
          <c:extLst>
            <c:ext xmlns:c16="http://schemas.microsoft.com/office/drawing/2014/chart" uri="{C3380CC4-5D6E-409C-BE32-E72D297353CC}">
              <c16:uniqueId val="{00000006-3C3F-443E-9C55-1CF1C496A6B2}"/>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AA'!$U$2:$U$42</c:f>
              <c:numCache>
                <c:formatCode>General</c:formatCode>
                <c:ptCount val="40"/>
                <c:pt idx="0">
                  <c:v>1.5</c:v>
                </c:pt>
                <c:pt idx="1">
                  <c:v>1682.6</c:v>
                </c:pt>
                <c:pt idx="2">
                  <c:v>729.1</c:v>
                </c:pt>
                <c:pt idx="3">
                  <c:v>45.9</c:v>
                </c:pt>
                <c:pt idx="4">
                  <c:v>1853</c:v>
                </c:pt>
                <c:pt idx="5">
                  <c:v>171.6</c:v>
                </c:pt>
                <c:pt idx="6">
                  <c:v>35.1</c:v>
                </c:pt>
                <c:pt idx="7">
                  <c:v>42.7</c:v>
                </c:pt>
                <c:pt idx="8">
                  <c:v>10.9</c:v>
                </c:pt>
                <c:pt idx="9">
                  <c:v>0</c:v>
                </c:pt>
                <c:pt idx="10">
                  <c:v>44.9</c:v>
                </c:pt>
                <c:pt idx="11">
                  <c:v>184.5</c:v>
                </c:pt>
                <c:pt idx="12">
                  <c:v>115.3</c:v>
                </c:pt>
                <c:pt idx="13">
                  <c:v>345.1</c:v>
                </c:pt>
                <c:pt idx="14">
                  <c:v>39.200000000000003</c:v>
                </c:pt>
                <c:pt idx="15">
                  <c:v>2.2999999999999998</c:v>
                </c:pt>
                <c:pt idx="16">
                  <c:v>721.2</c:v>
                </c:pt>
                <c:pt idx="17">
                  <c:v>1318.6</c:v>
                </c:pt>
                <c:pt idx="18">
                  <c:v>43.8</c:v>
                </c:pt>
                <c:pt idx="19">
                  <c:v>0.4</c:v>
                </c:pt>
                <c:pt idx="20">
                  <c:v>0.4</c:v>
                </c:pt>
                <c:pt idx="21">
                  <c:v>0</c:v>
                </c:pt>
                <c:pt idx="22">
                  <c:v>0</c:v>
                </c:pt>
                <c:pt idx="23">
                  <c:v>8.5</c:v>
                </c:pt>
                <c:pt idx="24">
                  <c:v>58.1</c:v>
                </c:pt>
                <c:pt idx="25">
                  <c:v>55.6</c:v>
                </c:pt>
                <c:pt idx="26">
                  <c:v>10.7</c:v>
                </c:pt>
                <c:pt idx="27">
                  <c:v>85.5</c:v>
                </c:pt>
                <c:pt idx="28">
                  <c:v>209.8</c:v>
                </c:pt>
                <c:pt idx="29">
                  <c:v>672.4</c:v>
                </c:pt>
                <c:pt idx="30">
                  <c:v>34.299999999999997</c:v>
                </c:pt>
                <c:pt idx="31">
                  <c:v>2.1</c:v>
                </c:pt>
                <c:pt idx="32">
                  <c:v>1935.7</c:v>
                </c:pt>
                <c:pt idx="33">
                  <c:v>36.9</c:v>
                </c:pt>
                <c:pt idx="34">
                  <c:v>11</c:v>
                </c:pt>
                <c:pt idx="35">
                  <c:v>277.8</c:v>
                </c:pt>
                <c:pt idx="36">
                  <c:v>452.8</c:v>
                </c:pt>
                <c:pt idx="37">
                  <c:v>0.7</c:v>
                </c:pt>
                <c:pt idx="38">
                  <c:v>1071</c:v>
                </c:pt>
                <c:pt idx="39">
                  <c:v>776.9</c:v>
                </c:pt>
              </c:numCache>
            </c:numRef>
          </c:val>
          <c:extLst>
            <c:ext xmlns:c16="http://schemas.microsoft.com/office/drawing/2014/chart" uri="{C3380CC4-5D6E-409C-BE32-E72D297353CC}">
              <c16:uniqueId val="{00000007-3C3F-443E-9C55-1CF1C496A6B2}"/>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AA'!$V$2:$V$42</c:f>
              <c:numCache>
                <c:formatCode>General</c:formatCode>
                <c:ptCount val="40"/>
                <c:pt idx="0">
                  <c:v>0</c:v>
                </c:pt>
                <c:pt idx="1">
                  <c:v>1125.0999999999999</c:v>
                </c:pt>
                <c:pt idx="2">
                  <c:v>757.7</c:v>
                </c:pt>
                <c:pt idx="3">
                  <c:v>50.1</c:v>
                </c:pt>
                <c:pt idx="4">
                  <c:v>2007.2</c:v>
                </c:pt>
                <c:pt idx="5">
                  <c:v>173.2</c:v>
                </c:pt>
                <c:pt idx="6">
                  <c:v>40.4</c:v>
                </c:pt>
                <c:pt idx="7">
                  <c:v>51.9</c:v>
                </c:pt>
                <c:pt idx="8">
                  <c:v>23.2</c:v>
                </c:pt>
                <c:pt idx="9">
                  <c:v>5.0699999999999996E-4</c:v>
                </c:pt>
                <c:pt idx="10">
                  <c:v>125.9</c:v>
                </c:pt>
                <c:pt idx="11">
                  <c:v>242.2</c:v>
                </c:pt>
                <c:pt idx="12">
                  <c:v>69.7</c:v>
                </c:pt>
                <c:pt idx="13">
                  <c:v>426.6</c:v>
                </c:pt>
                <c:pt idx="14">
                  <c:v>31.7</c:v>
                </c:pt>
                <c:pt idx="15">
                  <c:v>2.7</c:v>
                </c:pt>
                <c:pt idx="16">
                  <c:v>843.7</c:v>
                </c:pt>
                <c:pt idx="17">
                  <c:v>414.2</c:v>
                </c:pt>
                <c:pt idx="18">
                  <c:v>38.299999999999997</c:v>
                </c:pt>
                <c:pt idx="19">
                  <c:v>0.3</c:v>
                </c:pt>
                <c:pt idx="20">
                  <c:v>0.7</c:v>
                </c:pt>
                <c:pt idx="21">
                  <c:v>0.2</c:v>
                </c:pt>
                <c:pt idx="22">
                  <c:v>0</c:v>
                </c:pt>
                <c:pt idx="23">
                  <c:v>11.4</c:v>
                </c:pt>
                <c:pt idx="24">
                  <c:v>42.3</c:v>
                </c:pt>
                <c:pt idx="25">
                  <c:v>45.6</c:v>
                </c:pt>
                <c:pt idx="26">
                  <c:v>7.7</c:v>
                </c:pt>
                <c:pt idx="27">
                  <c:v>3457.4</c:v>
                </c:pt>
                <c:pt idx="28">
                  <c:v>232.5</c:v>
                </c:pt>
                <c:pt idx="29">
                  <c:v>715.6</c:v>
                </c:pt>
                <c:pt idx="30">
                  <c:v>27.7</c:v>
                </c:pt>
                <c:pt idx="31">
                  <c:v>0.3</c:v>
                </c:pt>
                <c:pt idx="32">
                  <c:v>2552.6</c:v>
                </c:pt>
                <c:pt idx="33">
                  <c:v>26.1</c:v>
                </c:pt>
                <c:pt idx="34">
                  <c:v>10.5</c:v>
                </c:pt>
                <c:pt idx="35">
                  <c:v>305</c:v>
                </c:pt>
                <c:pt idx="36">
                  <c:v>1586.6</c:v>
                </c:pt>
                <c:pt idx="37">
                  <c:v>0.6</c:v>
                </c:pt>
                <c:pt idx="38">
                  <c:v>1163.2</c:v>
                </c:pt>
                <c:pt idx="39">
                  <c:v>812.2</c:v>
                </c:pt>
              </c:numCache>
            </c:numRef>
          </c:val>
          <c:extLst>
            <c:ext xmlns:c16="http://schemas.microsoft.com/office/drawing/2014/chart" uri="{C3380CC4-5D6E-409C-BE32-E72D297353CC}">
              <c16:uniqueId val="{00000008-3C3F-443E-9C55-1CF1C496A6B2}"/>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AA'!$N$2:$N$42</c:f>
              <c:strCache>
                <c:ptCount val="40"/>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CORPOMOJANA</c:v>
                </c:pt>
                <c:pt idx="23">
                  <c:v>CORPONARIÑO</c:v>
                </c:pt>
                <c:pt idx="24">
                  <c:v>CORPONOR</c:v>
                </c:pt>
                <c:pt idx="25">
                  <c:v>CORPORINOQUIA</c:v>
                </c:pt>
                <c:pt idx="26">
                  <c:v>CORPOURABA</c:v>
                </c:pt>
                <c:pt idx="27">
                  <c:v>CORTOLIMA</c:v>
                </c:pt>
                <c:pt idx="28">
                  <c:v>CRA</c:v>
                </c:pt>
                <c:pt idx="29">
                  <c:v>CRC</c:v>
                </c:pt>
                <c:pt idx="30">
                  <c:v>CRQ</c:v>
                </c:pt>
                <c:pt idx="31">
                  <c:v>CSB</c:v>
                </c:pt>
                <c:pt idx="32">
                  <c:v>CVC</c:v>
                </c:pt>
                <c:pt idx="33">
                  <c:v>CVS</c:v>
                </c:pt>
                <c:pt idx="34">
                  <c:v>DADSA</c:v>
                </c:pt>
                <c:pt idx="35">
                  <c:v>DAGMA</c:v>
                </c:pt>
                <c:pt idx="36">
                  <c:v>EPA BARRANQUILLA</c:v>
                </c:pt>
                <c:pt idx="37">
                  <c:v>EPA BUENAVENTURA</c:v>
                </c:pt>
                <c:pt idx="38">
                  <c:v>EPA CARTAGENA</c:v>
                </c:pt>
                <c:pt idx="39">
                  <c:v>SDA</c:v>
                </c:pt>
              </c:strCache>
            </c:strRef>
          </c:cat>
          <c:val>
            <c:numRef>
              <c:f>'Grafica AA'!$W$2:$W$42</c:f>
              <c:numCache>
                <c:formatCode>General</c:formatCode>
                <c:ptCount val="40"/>
                <c:pt idx="0">
                  <c:v>0</c:v>
                </c:pt>
                <c:pt idx="1">
                  <c:v>1314.8044520000001</c:v>
                </c:pt>
                <c:pt idx="2">
                  <c:v>46.470516000000003</c:v>
                </c:pt>
                <c:pt idx="3">
                  <c:v>56.548462000000001</c:v>
                </c:pt>
                <c:pt idx="4">
                  <c:v>2224.8628950000002</c:v>
                </c:pt>
                <c:pt idx="5">
                  <c:v>303.65776199999999</c:v>
                </c:pt>
                <c:pt idx="6">
                  <c:v>48.132112999999997</c:v>
                </c:pt>
                <c:pt idx="7">
                  <c:v>60.285167000000001</c:v>
                </c:pt>
                <c:pt idx="8">
                  <c:v>688.94721300000003</c:v>
                </c:pt>
                <c:pt idx="9">
                  <c:v>0</c:v>
                </c:pt>
                <c:pt idx="10">
                  <c:v>148.55556300000001</c:v>
                </c:pt>
                <c:pt idx="11">
                  <c:v>252.93688700000001</c:v>
                </c:pt>
                <c:pt idx="12">
                  <c:v>48.763159000000002</c:v>
                </c:pt>
                <c:pt idx="13">
                  <c:v>581.77805799999999</c:v>
                </c:pt>
                <c:pt idx="14">
                  <c:v>51.60219</c:v>
                </c:pt>
                <c:pt idx="15">
                  <c:v>2.7289509999999999</c:v>
                </c:pt>
                <c:pt idx="16">
                  <c:v>937.24113399999999</c:v>
                </c:pt>
                <c:pt idx="17">
                  <c:v>447.79056500000002</c:v>
                </c:pt>
                <c:pt idx="18">
                  <c:v>44.936357000000001</c:v>
                </c:pt>
                <c:pt idx="19">
                  <c:v>0.50103399999999998</c:v>
                </c:pt>
                <c:pt idx="20">
                  <c:v>1.014912</c:v>
                </c:pt>
                <c:pt idx="21">
                  <c:v>0.20380499999999999</c:v>
                </c:pt>
                <c:pt idx="22">
                  <c:v>0</c:v>
                </c:pt>
                <c:pt idx="23">
                  <c:v>9.6800219999999992</c:v>
                </c:pt>
                <c:pt idx="24">
                  <c:v>40.111448000000003</c:v>
                </c:pt>
                <c:pt idx="25">
                  <c:v>60.058135</c:v>
                </c:pt>
                <c:pt idx="26">
                  <c:v>12.404790999999999</c:v>
                </c:pt>
                <c:pt idx="27">
                  <c:v>152.54327000000001</c:v>
                </c:pt>
                <c:pt idx="28">
                  <c:v>302.91862900000001</c:v>
                </c:pt>
                <c:pt idx="29">
                  <c:v>735.04765599999996</c:v>
                </c:pt>
                <c:pt idx="30">
                  <c:v>29.680016999999999</c:v>
                </c:pt>
                <c:pt idx="31">
                  <c:v>0.23519399999999999</c:v>
                </c:pt>
                <c:pt idx="32">
                  <c:v>2641.056638</c:v>
                </c:pt>
                <c:pt idx="33">
                  <c:v>41.575760000000002</c:v>
                </c:pt>
                <c:pt idx="34">
                  <c:v>12.778783000000001</c:v>
                </c:pt>
                <c:pt idx="35">
                  <c:v>378.85313100000002</c:v>
                </c:pt>
                <c:pt idx="36">
                  <c:v>622.56066099999998</c:v>
                </c:pt>
                <c:pt idx="37">
                  <c:v>0.41020800000000002</c:v>
                </c:pt>
                <c:pt idx="38">
                  <c:v>1184.125045</c:v>
                </c:pt>
                <c:pt idx="39">
                  <c:v>840.53187300000002</c:v>
                </c:pt>
              </c:numCache>
            </c:numRef>
          </c:val>
          <c:extLst>
            <c:ext xmlns:c16="http://schemas.microsoft.com/office/drawing/2014/chart" uri="{C3380CC4-5D6E-409C-BE32-E72D297353CC}">
              <c16:uniqueId val="{00000009-3C3F-443E-9C55-1CF1C496A6B2}"/>
            </c:ext>
          </c:extLst>
        </c:ser>
        <c:dLbls>
          <c:showLegendKey val="0"/>
          <c:showVal val="0"/>
          <c:showCatName val="0"/>
          <c:showSerName val="0"/>
          <c:showPercent val="0"/>
          <c:showBubbleSize val="0"/>
        </c:dLbls>
        <c:gapWidth val="219"/>
        <c:overlap val="-27"/>
        <c:axId val="673482128"/>
        <c:axId val="673485456"/>
      </c:barChart>
      <c:catAx>
        <c:axId val="673482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485456"/>
        <c:crosses val="autoZero"/>
        <c:auto val="1"/>
        <c:lblAlgn val="ctr"/>
        <c:lblOffset val="100"/>
        <c:noMultiLvlLbl val="0"/>
      </c:catAx>
      <c:valAx>
        <c:axId val="673485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Consumo de energía eléctrica - Gigavatio hora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482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74083</xdr:colOff>
      <xdr:row>2</xdr:row>
      <xdr:rowOff>429640</xdr:rowOff>
    </xdr:from>
    <xdr:to>
      <xdr:col>2</xdr:col>
      <xdr:colOff>232833</xdr:colOff>
      <xdr:row>5</xdr:row>
      <xdr:rowOff>68791</xdr:rowOff>
    </xdr:to>
    <xdr:pic>
      <xdr:nvPicPr>
        <xdr:cNvPr id="4" name="Imagen 3">
          <a:extLst>
            <a:ext uri="{FF2B5EF4-FFF2-40B4-BE49-F238E27FC236}">
              <a16:creationId xmlns:a16="http://schemas.microsoft.com/office/drawing/2014/main" id="{F6CCE1AF-6C75-4156-8FB0-5E74D1058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083" y="916473"/>
          <a:ext cx="1375833" cy="623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757767</xdr:colOff>
      <xdr:row>1</xdr:row>
      <xdr:rowOff>21167</xdr:rowOff>
    </xdr:from>
    <xdr:to>
      <xdr:col>2</xdr:col>
      <xdr:colOff>178092</xdr:colOff>
      <xdr:row>2</xdr:row>
      <xdr:rowOff>332231</xdr:rowOff>
    </xdr:to>
    <xdr:pic>
      <xdr:nvPicPr>
        <xdr:cNvPr id="5" name="Imagen 4">
          <a:extLst>
            <a:ext uri="{FF2B5EF4-FFF2-40B4-BE49-F238E27FC236}">
              <a16:creationId xmlns:a16="http://schemas.microsoft.com/office/drawing/2014/main" id="{41419E4A-B66F-484C-BB48-3304ED3445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767" y="211667"/>
          <a:ext cx="1399408" cy="607397"/>
        </a:xfrm>
        <a:prstGeom prst="rect">
          <a:avLst/>
        </a:prstGeom>
      </xdr:spPr>
    </xdr:pic>
    <xdr:clientData/>
  </xdr:twoCellAnchor>
  <xdr:twoCellAnchor editAs="oneCell">
    <xdr:from>
      <xdr:col>2</xdr:col>
      <xdr:colOff>5270500</xdr:colOff>
      <xdr:row>1</xdr:row>
      <xdr:rowOff>77258</xdr:rowOff>
    </xdr:from>
    <xdr:to>
      <xdr:col>3</xdr:col>
      <xdr:colOff>1301796</xdr:colOff>
      <xdr:row>2</xdr:row>
      <xdr:rowOff>372256</xdr:rowOff>
    </xdr:to>
    <xdr:pic>
      <xdr:nvPicPr>
        <xdr:cNvPr id="6" name="Imagen 5">
          <a:extLst>
            <a:ext uri="{FF2B5EF4-FFF2-40B4-BE49-F238E27FC236}">
              <a16:creationId xmlns:a16="http://schemas.microsoft.com/office/drawing/2014/main" id="{9381FB25-CBF2-4658-9A85-1A6410A484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49583" y="267758"/>
          <a:ext cx="1354713" cy="591331"/>
        </a:xfrm>
        <a:prstGeom prst="rect">
          <a:avLst/>
        </a:prstGeom>
      </xdr:spPr>
    </xdr:pic>
    <xdr:clientData/>
  </xdr:twoCellAnchor>
  <xdr:twoCellAnchor editAs="oneCell">
    <xdr:from>
      <xdr:col>2</xdr:col>
      <xdr:colOff>5167841</xdr:colOff>
      <xdr:row>2</xdr:row>
      <xdr:rowOff>541782</xdr:rowOff>
    </xdr:from>
    <xdr:to>
      <xdr:col>4</xdr:col>
      <xdr:colOff>12696</xdr:colOff>
      <xdr:row>5</xdr:row>
      <xdr:rowOff>94106</xdr:rowOff>
    </xdr:to>
    <xdr:pic>
      <xdr:nvPicPr>
        <xdr:cNvPr id="7" name="Imagen 6">
          <a:extLst>
            <a:ext uri="{FF2B5EF4-FFF2-40B4-BE49-F238E27FC236}">
              <a16:creationId xmlns:a16="http://schemas.microsoft.com/office/drawing/2014/main" id="{D62928DC-74EE-41B0-8EB5-C8704E1C6F92}"/>
            </a:ext>
          </a:extLst>
        </xdr:cNvPr>
        <xdr:cNvPicPr>
          <a:picLocks noChangeAspect="1"/>
        </xdr:cNvPicPr>
      </xdr:nvPicPr>
      <xdr:blipFill>
        <a:blip xmlns:r="http://schemas.openxmlformats.org/officeDocument/2006/relationships" r:embed="rId4"/>
        <a:stretch>
          <a:fillRect/>
        </a:stretch>
      </xdr:blipFill>
      <xdr:spPr>
        <a:xfrm>
          <a:off x="7146924" y="1028615"/>
          <a:ext cx="1480605" cy="536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394073</xdr:rowOff>
    </xdr:from>
    <xdr:to>
      <xdr:col>1</xdr:col>
      <xdr:colOff>1304925</xdr:colOff>
      <xdr:row>1</xdr:row>
      <xdr:rowOff>952499</xdr:rowOff>
    </xdr:to>
    <xdr:pic>
      <xdr:nvPicPr>
        <xdr:cNvPr id="3" name="Imagen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994148"/>
          <a:ext cx="1238250" cy="558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476249</xdr:colOff>
      <xdr:row>0</xdr:row>
      <xdr:rowOff>113032</xdr:rowOff>
    </xdr:from>
    <xdr:to>
      <xdr:col>1</xdr:col>
      <xdr:colOff>1209675</xdr:colOff>
      <xdr:row>1</xdr:row>
      <xdr:rowOff>325881</xdr:rowOff>
    </xdr:to>
    <xdr:pic>
      <xdr:nvPicPr>
        <xdr:cNvPr id="4" name="Imagen 3">
          <a:extLst>
            <a:ext uri="{FF2B5EF4-FFF2-40B4-BE49-F238E27FC236}">
              <a16:creationId xmlns:a16="http://schemas.microsoft.com/office/drawing/2014/main" id="{0E9D9104-8497-4B93-B84E-08D3848D62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49" y="113032"/>
          <a:ext cx="1220259" cy="530349"/>
        </a:xfrm>
        <a:prstGeom prst="rect">
          <a:avLst/>
        </a:prstGeom>
      </xdr:spPr>
    </xdr:pic>
    <xdr:clientData/>
  </xdr:twoCellAnchor>
  <xdr:twoCellAnchor editAs="oneCell">
    <xdr:from>
      <xdr:col>3</xdr:col>
      <xdr:colOff>777876</xdr:colOff>
      <xdr:row>0</xdr:row>
      <xdr:rowOff>64066</xdr:rowOff>
    </xdr:from>
    <xdr:to>
      <xdr:col>4</xdr:col>
      <xdr:colOff>14864</xdr:colOff>
      <xdr:row>1</xdr:row>
      <xdr:rowOff>329765</xdr:rowOff>
    </xdr:to>
    <xdr:pic>
      <xdr:nvPicPr>
        <xdr:cNvPr id="6" name="Imagen 5">
          <a:extLst>
            <a:ext uri="{FF2B5EF4-FFF2-40B4-BE49-F238E27FC236}">
              <a16:creationId xmlns:a16="http://schemas.microsoft.com/office/drawing/2014/main" id="{FB41D475-16C7-475A-B1F8-48BD666014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25043" y="64066"/>
          <a:ext cx="1332488" cy="583199"/>
        </a:xfrm>
        <a:prstGeom prst="rect">
          <a:avLst/>
        </a:prstGeom>
      </xdr:spPr>
    </xdr:pic>
    <xdr:clientData/>
  </xdr:twoCellAnchor>
  <xdr:twoCellAnchor editAs="oneCell">
    <xdr:from>
      <xdr:col>3</xdr:col>
      <xdr:colOff>638175</xdr:colOff>
      <xdr:row>1</xdr:row>
      <xdr:rowOff>439124</xdr:rowOff>
    </xdr:from>
    <xdr:to>
      <xdr:col>4</xdr:col>
      <xdr:colOff>24338</xdr:colOff>
      <xdr:row>1</xdr:row>
      <xdr:rowOff>972523</xdr:rowOff>
    </xdr:to>
    <xdr:pic>
      <xdr:nvPicPr>
        <xdr:cNvPr id="7" name="Imagen 6">
          <a:extLst>
            <a:ext uri="{FF2B5EF4-FFF2-40B4-BE49-F238E27FC236}">
              <a16:creationId xmlns:a16="http://schemas.microsoft.com/office/drawing/2014/main" id="{4675203E-1C7D-4818-BDAE-C86E2DAC1A87}"/>
            </a:ext>
          </a:extLst>
        </xdr:cNvPr>
        <xdr:cNvPicPr>
          <a:picLocks noChangeAspect="1"/>
        </xdr:cNvPicPr>
      </xdr:nvPicPr>
      <xdr:blipFill>
        <a:blip xmlns:r="http://schemas.openxmlformats.org/officeDocument/2006/relationships" r:embed="rId4"/>
        <a:stretch>
          <a:fillRect/>
        </a:stretch>
      </xdr:blipFill>
      <xdr:spPr>
        <a:xfrm>
          <a:off x="5486400" y="1039199"/>
          <a:ext cx="1481663"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xdr:colOff>
      <xdr:row>9</xdr:row>
      <xdr:rowOff>85725</xdr:rowOff>
    </xdr:from>
    <xdr:to>
      <xdr:col>8</xdr:col>
      <xdr:colOff>52387</xdr:colOff>
      <xdr:row>23</xdr:row>
      <xdr:rowOff>161925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761999</xdr:colOff>
      <xdr:row>2</xdr:row>
      <xdr:rowOff>107762</xdr:rowOff>
    </xdr:from>
    <xdr:to>
      <xdr:col>1</xdr:col>
      <xdr:colOff>1319741</xdr:colOff>
      <xdr:row>5</xdr:row>
      <xdr:rowOff>133349</xdr:rowOff>
    </xdr:to>
    <xdr:pic>
      <xdr:nvPicPr>
        <xdr:cNvPr id="3" name="Imagen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9" y="660212"/>
          <a:ext cx="1323975" cy="59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290716</xdr:colOff>
      <xdr:row>0</xdr:row>
      <xdr:rowOff>28575</xdr:rowOff>
    </xdr:from>
    <xdr:to>
      <xdr:col>12</xdr:col>
      <xdr:colOff>27563</xdr:colOff>
      <xdr:row>2</xdr:row>
      <xdr:rowOff>24964</xdr:rowOff>
    </xdr:to>
    <xdr:pic>
      <xdr:nvPicPr>
        <xdr:cNvPr id="5" name="Imagen 4">
          <a:extLst>
            <a:ext uri="{FF2B5EF4-FFF2-40B4-BE49-F238E27FC236}">
              <a16:creationId xmlns:a16="http://schemas.microsoft.com/office/drawing/2014/main" id="{6063054F-E054-4C06-9FEA-C109739430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1691" y="28575"/>
          <a:ext cx="1260847" cy="548839"/>
        </a:xfrm>
        <a:prstGeom prst="rect">
          <a:avLst/>
        </a:prstGeom>
      </xdr:spPr>
    </xdr:pic>
    <xdr:clientData/>
  </xdr:twoCellAnchor>
  <xdr:twoCellAnchor editAs="oneCell">
    <xdr:from>
      <xdr:col>9</xdr:col>
      <xdr:colOff>38100</xdr:colOff>
      <xdr:row>2</xdr:row>
      <xdr:rowOff>172424</xdr:rowOff>
    </xdr:from>
    <xdr:to>
      <xdr:col>10</xdr:col>
      <xdr:colOff>757763</xdr:colOff>
      <xdr:row>5</xdr:row>
      <xdr:rowOff>134323</xdr:rowOff>
    </xdr:to>
    <xdr:pic>
      <xdr:nvPicPr>
        <xdr:cNvPr id="6" name="Imagen 5">
          <a:extLst>
            <a:ext uri="{FF2B5EF4-FFF2-40B4-BE49-F238E27FC236}">
              <a16:creationId xmlns:a16="http://schemas.microsoft.com/office/drawing/2014/main" id="{AD624612-CEAC-48A8-84F1-1674C81EEE93}"/>
            </a:ext>
          </a:extLst>
        </xdr:cNvPr>
        <xdr:cNvPicPr>
          <a:picLocks noChangeAspect="1"/>
        </xdr:cNvPicPr>
      </xdr:nvPicPr>
      <xdr:blipFill>
        <a:blip xmlns:r="http://schemas.openxmlformats.org/officeDocument/2006/relationships" r:embed="rId3"/>
        <a:stretch>
          <a:fillRect/>
        </a:stretch>
      </xdr:blipFill>
      <xdr:spPr>
        <a:xfrm>
          <a:off x="7839075" y="724874"/>
          <a:ext cx="1481663" cy="533399"/>
        </a:xfrm>
        <a:prstGeom prst="rect">
          <a:avLst/>
        </a:prstGeom>
      </xdr:spPr>
    </xdr:pic>
    <xdr:clientData/>
  </xdr:twoCellAnchor>
  <xdr:twoCellAnchor editAs="oneCell">
    <xdr:from>
      <xdr:col>0</xdr:col>
      <xdr:colOff>757441</xdr:colOff>
      <xdr:row>0</xdr:row>
      <xdr:rowOff>66675</xdr:rowOff>
    </xdr:from>
    <xdr:to>
      <xdr:col>1</xdr:col>
      <xdr:colOff>1192790</xdr:colOff>
      <xdr:row>2</xdr:row>
      <xdr:rowOff>33781</xdr:rowOff>
    </xdr:to>
    <xdr:pic>
      <xdr:nvPicPr>
        <xdr:cNvPr id="7" name="Imagen 6">
          <a:extLst>
            <a:ext uri="{FF2B5EF4-FFF2-40B4-BE49-F238E27FC236}">
              <a16:creationId xmlns:a16="http://schemas.microsoft.com/office/drawing/2014/main" id="{B44DAB24-3F56-46B1-897A-B090707B02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441" y="66675"/>
          <a:ext cx="1201582" cy="5195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523874</xdr:colOff>
      <xdr:row>3</xdr:row>
      <xdr:rowOff>19049</xdr:rowOff>
    </xdr:from>
    <xdr:to>
      <xdr:col>12</xdr:col>
      <xdr:colOff>57149</xdr:colOff>
      <xdr:row>30</xdr:row>
      <xdr:rowOff>66674</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2</xdr:row>
      <xdr:rowOff>128493</xdr:rowOff>
    </xdr:from>
    <xdr:to>
      <xdr:col>1</xdr:col>
      <xdr:colOff>1581149</xdr:colOff>
      <xdr:row>6</xdr:row>
      <xdr:rowOff>66674</xdr:rowOff>
    </xdr:to>
    <xdr:pic>
      <xdr:nvPicPr>
        <xdr:cNvPr id="2" name="Imagen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4" y="785718"/>
          <a:ext cx="1552575" cy="700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130884</xdr:rowOff>
    </xdr:from>
    <xdr:to>
      <xdr:col>1</xdr:col>
      <xdr:colOff>1295400</xdr:colOff>
      <xdr:row>2</xdr:row>
      <xdr:rowOff>33781</xdr:rowOff>
    </xdr:to>
    <xdr:pic>
      <xdr:nvPicPr>
        <xdr:cNvPr id="4" name="Imagen 3">
          <a:extLst>
            <a:ext uri="{FF2B5EF4-FFF2-40B4-BE49-F238E27FC236}">
              <a16:creationId xmlns:a16="http://schemas.microsoft.com/office/drawing/2014/main" id="{03C9ED5B-F9E3-4C98-BDAA-8FD1822118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30884"/>
          <a:ext cx="1295400" cy="560122"/>
        </a:xfrm>
        <a:prstGeom prst="rect">
          <a:avLst/>
        </a:prstGeom>
      </xdr:spPr>
    </xdr:pic>
    <xdr:clientData/>
  </xdr:twoCellAnchor>
  <xdr:twoCellAnchor editAs="oneCell">
    <xdr:from>
      <xdr:col>9</xdr:col>
      <xdr:colOff>224041</xdr:colOff>
      <xdr:row>0</xdr:row>
      <xdr:rowOff>171450</xdr:rowOff>
    </xdr:from>
    <xdr:to>
      <xdr:col>10</xdr:col>
      <xdr:colOff>722888</xdr:colOff>
      <xdr:row>2</xdr:row>
      <xdr:rowOff>63064</xdr:rowOff>
    </xdr:to>
    <xdr:pic>
      <xdr:nvPicPr>
        <xdr:cNvPr id="5" name="Imagen 4">
          <a:extLst>
            <a:ext uri="{FF2B5EF4-FFF2-40B4-BE49-F238E27FC236}">
              <a16:creationId xmlns:a16="http://schemas.microsoft.com/office/drawing/2014/main" id="{89061E59-FF52-4AC6-B1E4-30A6208200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25016" y="171450"/>
          <a:ext cx="1260847" cy="548839"/>
        </a:xfrm>
        <a:prstGeom prst="rect">
          <a:avLst/>
        </a:prstGeom>
      </xdr:spPr>
    </xdr:pic>
    <xdr:clientData/>
  </xdr:twoCellAnchor>
  <xdr:twoCellAnchor editAs="oneCell">
    <xdr:from>
      <xdr:col>8</xdr:col>
      <xdr:colOff>704851</xdr:colOff>
      <xdr:row>3</xdr:row>
      <xdr:rowOff>39074</xdr:rowOff>
    </xdr:from>
    <xdr:to>
      <xdr:col>11</xdr:col>
      <xdr:colOff>5289</xdr:colOff>
      <xdr:row>6</xdr:row>
      <xdr:rowOff>38692</xdr:rowOff>
    </xdr:to>
    <xdr:pic>
      <xdr:nvPicPr>
        <xdr:cNvPr id="6" name="Imagen 5">
          <a:extLst>
            <a:ext uri="{FF2B5EF4-FFF2-40B4-BE49-F238E27FC236}">
              <a16:creationId xmlns:a16="http://schemas.microsoft.com/office/drawing/2014/main" id="{3B61A9B9-6A5B-49AB-A420-5B61B4342193}"/>
            </a:ext>
          </a:extLst>
        </xdr:cNvPr>
        <xdr:cNvPicPr>
          <a:picLocks noChangeAspect="1"/>
        </xdr:cNvPicPr>
      </xdr:nvPicPr>
      <xdr:blipFill>
        <a:blip xmlns:r="http://schemas.openxmlformats.org/officeDocument/2006/relationships" r:embed="rId4"/>
        <a:stretch>
          <a:fillRect/>
        </a:stretch>
      </xdr:blipFill>
      <xdr:spPr>
        <a:xfrm>
          <a:off x="7743826" y="886799"/>
          <a:ext cx="1586438" cy="5711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542925</xdr:colOff>
      <xdr:row>3</xdr:row>
      <xdr:rowOff>66675</xdr:rowOff>
    </xdr:from>
    <xdr:to>
      <xdr:col>11</xdr:col>
      <xdr:colOff>338137</xdr:colOff>
      <xdr:row>31</xdr:row>
      <xdr:rowOff>95250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xdr:row>
      <xdr:rowOff>19049</xdr:rowOff>
    </xdr:from>
    <xdr:to>
      <xdr:col>1</xdr:col>
      <xdr:colOff>1533525</xdr:colOff>
      <xdr:row>6</xdr:row>
      <xdr:rowOff>104774</xdr:rowOff>
    </xdr:to>
    <xdr:pic>
      <xdr:nvPicPr>
        <xdr:cNvPr id="2" name="Imagen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942974"/>
          <a:ext cx="14573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207251</xdr:colOff>
      <xdr:row>0</xdr:row>
      <xdr:rowOff>228600</xdr:rowOff>
    </xdr:from>
    <xdr:to>
      <xdr:col>10</xdr:col>
      <xdr:colOff>631872</xdr:colOff>
      <xdr:row>3</xdr:row>
      <xdr:rowOff>19050</xdr:rowOff>
    </xdr:to>
    <xdr:pic>
      <xdr:nvPicPr>
        <xdr:cNvPr id="4" name="Imagen 3">
          <a:extLst>
            <a:ext uri="{FF2B5EF4-FFF2-40B4-BE49-F238E27FC236}">
              <a16:creationId xmlns:a16="http://schemas.microsoft.com/office/drawing/2014/main" id="{BE3D25BC-5A4E-4422-862F-7C881C0983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94326" y="228600"/>
          <a:ext cx="1334788" cy="581025"/>
        </a:xfrm>
        <a:prstGeom prst="rect">
          <a:avLst/>
        </a:prstGeom>
      </xdr:spPr>
    </xdr:pic>
    <xdr:clientData/>
  </xdr:twoCellAnchor>
  <xdr:twoCellAnchor editAs="oneCell">
    <xdr:from>
      <xdr:col>8</xdr:col>
      <xdr:colOff>725428</xdr:colOff>
      <xdr:row>3</xdr:row>
      <xdr:rowOff>142875</xdr:rowOff>
    </xdr:from>
    <xdr:to>
      <xdr:col>10</xdr:col>
      <xdr:colOff>442380</xdr:colOff>
      <xdr:row>6</xdr:row>
      <xdr:rowOff>124798</xdr:rowOff>
    </xdr:to>
    <xdr:pic>
      <xdr:nvPicPr>
        <xdr:cNvPr id="5" name="Imagen 4">
          <a:extLst>
            <a:ext uri="{FF2B5EF4-FFF2-40B4-BE49-F238E27FC236}">
              <a16:creationId xmlns:a16="http://schemas.microsoft.com/office/drawing/2014/main" id="{77473414-6B43-4519-B55D-27C1F5FA8322}"/>
            </a:ext>
          </a:extLst>
        </xdr:cNvPr>
        <xdr:cNvPicPr>
          <a:picLocks noChangeAspect="1"/>
        </xdr:cNvPicPr>
      </xdr:nvPicPr>
      <xdr:blipFill>
        <a:blip xmlns:r="http://schemas.openxmlformats.org/officeDocument/2006/relationships" r:embed="rId3"/>
        <a:stretch>
          <a:fillRect/>
        </a:stretch>
      </xdr:blipFill>
      <xdr:spPr>
        <a:xfrm>
          <a:off x="10850503" y="1066800"/>
          <a:ext cx="1537285" cy="553423"/>
        </a:xfrm>
        <a:prstGeom prst="rect">
          <a:avLst/>
        </a:prstGeom>
      </xdr:spPr>
    </xdr:pic>
    <xdr:clientData/>
  </xdr:twoCellAnchor>
  <xdr:twoCellAnchor editAs="oneCell">
    <xdr:from>
      <xdr:col>1</xdr:col>
      <xdr:colOff>28574</xdr:colOff>
      <xdr:row>0</xdr:row>
      <xdr:rowOff>123825</xdr:rowOff>
    </xdr:from>
    <xdr:to>
      <xdr:col>1</xdr:col>
      <xdr:colOff>1362327</xdr:colOff>
      <xdr:row>2</xdr:row>
      <xdr:rowOff>100456</xdr:rowOff>
    </xdr:to>
    <xdr:pic>
      <xdr:nvPicPr>
        <xdr:cNvPr id="6" name="Imagen 5">
          <a:extLst>
            <a:ext uri="{FF2B5EF4-FFF2-40B4-BE49-F238E27FC236}">
              <a16:creationId xmlns:a16="http://schemas.microsoft.com/office/drawing/2014/main" id="{2773376B-E0ED-49A1-8126-1A2ED6D141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0574" y="123825"/>
          <a:ext cx="1333753" cy="57670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73931365738" createdVersion="6" refreshedVersion="6" minRefreshableVersion="3" recordCount="40" xr:uid="{00000000-000A-0000-FFFF-FFFF79000000}">
  <cacheSource type="worksheet">
    <worksheetSource ref="A1:J41" sheet="Grafica AA"/>
  </cacheSource>
  <cacheFields count="10">
    <cacheField name="Autoridad Ambiental" numFmtId="0">
      <sharedItems count="40">
        <s v="AMB"/>
        <s v="AMVA"/>
        <s v="ANLA"/>
        <s v="CAM"/>
        <s v="CAR"/>
        <s v="CARDER"/>
        <s v="CARDIQUE"/>
        <s v="CARSUCRE"/>
        <s v="CAS"/>
        <s v="CDA"/>
        <s v="CDMB"/>
        <s v="CORANTIOQUIA"/>
        <s v="CORMACARENA"/>
        <s v="CORNARE"/>
        <s v="CORPAMAG"/>
        <s v="CORPOAMAZONIA"/>
        <s v="CORPOBOYACA"/>
        <s v="CORPOCALDAS"/>
        <s v="CORPOCESAR "/>
        <s v="CORPOCHIVOR"/>
        <s v="CORPOGUAJIRA"/>
        <s v="CORPOGUAVIO"/>
        <s v="CORPOMOJANA"/>
        <s v="CORPONARIÑO"/>
        <s v="CORPONOR"/>
        <s v="CORPORINOQUIA"/>
        <s v="CORPOURABA"/>
        <s v="CORTOLIMA"/>
        <s v="CRA"/>
        <s v="CRC"/>
        <s v="CRQ"/>
        <s v="CSB"/>
        <s v="CVC"/>
        <s v="CVS"/>
        <s v="DADSA"/>
        <s v="DAGMA"/>
        <s v="EPA CARTAGENA"/>
        <s v="EPA BUENAVENTURA"/>
        <s v="EPA BARRANQUILLA"/>
        <s v="SDA"/>
      </sharedItems>
    </cacheField>
    <cacheField name="2014" numFmtId="0">
      <sharedItems containsSemiMixedTypes="0" containsString="0" containsNumber="1" minValue="0" maxValue="9268.7999999999993"/>
    </cacheField>
    <cacheField name="2015" numFmtId="0">
      <sharedItems containsSemiMixedTypes="0" containsString="0" containsNumber="1" minValue="0" maxValue="4177.2"/>
    </cacheField>
    <cacheField name="2016" numFmtId="0">
      <sharedItems containsSemiMixedTypes="0" containsString="0" containsNumber="1" minValue="0" maxValue="3187.4"/>
    </cacheField>
    <cacheField name="2017" numFmtId="0">
      <sharedItems containsSemiMixedTypes="0" containsString="0" containsNumber="1" minValue="0" maxValue="2214.6"/>
    </cacheField>
    <cacheField name="2018" numFmtId="0">
      <sharedItems containsSemiMixedTypes="0" containsString="0" containsNumber="1" minValue="0" maxValue="2159.8000000000002"/>
    </cacheField>
    <cacheField name="2019" numFmtId="0">
      <sharedItems containsSemiMixedTypes="0" containsString="0" containsNumber="1" minValue="0" maxValue="2292.1999999999998"/>
    </cacheField>
    <cacheField name="2020" numFmtId="0">
      <sharedItems containsSemiMixedTypes="0" containsString="0" containsNumber="1" minValue="0" maxValue="1935.7"/>
    </cacheField>
    <cacheField name="2021" numFmtId="0">
      <sharedItems containsSemiMixedTypes="0" containsString="0" containsNumber="1" minValue="0" maxValue="3457.4"/>
    </cacheField>
    <cacheField name="2022" numFmtId="0">
      <sharedItems containsSemiMixedTypes="0" containsString="0" containsNumber="1" minValue="0" maxValue="2641.05663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78836921295" createdVersion="6" refreshedVersion="6" minRefreshableVersion="3" recordCount="9" xr:uid="{00000000-000A-0000-FFFF-FFFF77000000}">
  <cacheSource type="worksheet">
    <worksheetSource ref="B5:D14" sheet="Consumo energía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Consumo de energía eléctrica por el establecimiento industrial - Gigavatio hora (Gwh)" numFmtId="0">
      <sharedItems containsSemiMixedTypes="0" containsString="0" containsNumber="1" minValue="12892.8" maxValue="22938"/>
    </cacheField>
    <cacheField name="Variación Anual*1  %" numFmtId="0">
      <sharedItems containsString="0" containsBlank="1" containsNumber="1" minValue="-0.39697009329496907" maxValue="0.3311506723716380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79367013887" createdVersion="6" refreshedVersion="6" minRefreshableVersion="3" recordCount="29" xr:uid="{00000000-000A-0000-FFFF-FFFF78000000}">
  <cacheSource type="worksheet">
    <worksheetSource ref="A1:J30" sheet="Grafica departamental"/>
  </cacheSource>
  <cacheFields count="10">
    <cacheField name="Departamento" numFmtId="0">
      <sharedItems count="29">
        <s v="AMAZONAS "/>
        <s v="ANTIOQUIA"/>
        <s v="ARAUCA"/>
        <s v="ATLÁNTICO"/>
        <s v="BOGOTÁ D,C"/>
        <s v="BOLIVAR"/>
        <s v="BOYACÁ"/>
        <s v="CALDAS"/>
        <s v="CAQUETÁ"/>
        <s v="CASANARE"/>
        <s v="CAUCA"/>
        <s v="CESAR"/>
        <s v="CORDOBA"/>
        <s v="CUNDINAMARCA"/>
        <s v="GUAINÍA"/>
        <s v="HUILA"/>
        <s v="LA GUAJIRA"/>
        <s v="MAGDALENA"/>
        <s v="META"/>
        <s v="NARIÑO"/>
        <s v="NORTE DE SANTANDER"/>
        <s v="QUINDÍO"/>
        <s v="RISARALDA"/>
        <s v="SANTANDER"/>
        <s v="SUCRE"/>
        <s v="TOLIMA"/>
        <s v="VALLE DEL CAUCA"/>
        <s v="VAUPES"/>
        <s v="VICHADA"/>
      </sharedItems>
    </cacheField>
    <cacheField name="2014" numFmtId="0">
      <sharedItems containsSemiMixedTypes="0" containsString="0" containsNumber="1" minValue="0" maxValue="9584.1"/>
    </cacheField>
    <cacheField name="2015" numFmtId="0">
      <sharedItems containsSemiMixedTypes="0" containsString="0" containsNumber="1" minValue="0" maxValue="4413.6000000000004"/>
    </cacheField>
    <cacheField name="2016" numFmtId="0">
      <sharedItems containsSemiMixedTypes="0" containsString="0" containsNumber="1" minValue="0" maxValue="3601.4"/>
    </cacheField>
    <cacheField name="2017" numFmtId="0">
      <sharedItems containsSemiMixedTypes="0" containsString="0" containsNumber="1" minValue="0" maxValue="2497.2293999999997"/>
    </cacheField>
    <cacheField name="2018" numFmtId="0">
      <sharedItems containsSemiMixedTypes="0" containsString="0" containsNumber="1" minValue="0" maxValue="2438.0162"/>
    </cacheField>
    <cacheField name="2019" numFmtId="0">
      <sharedItems containsSemiMixedTypes="0" containsString="0" containsNumber="1" minValue="0" maxValue="2589.4201200000002"/>
    </cacheField>
    <cacheField name="2020" numFmtId="0">
      <sharedItems containsSemiMixedTypes="0" containsString="0" containsNumber="1" minValue="0" maxValue="2225.5"/>
    </cacheField>
    <cacheField name="2021" numFmtId="0">
      <sharedItems containsSemiMixedTypes="0" containsString="0" containsNumber="1" minValue="0" maxValue="3458.4"/>
    </cacheField>
    <cacheField name="2022" numFmtId="0">
      <sharedItems containsSemiMixedTypes="0" containsString="0" containsNumber="1" minValue="0" maxValue="3020.319977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x v="0"/>
    <n v="0"/>
    <n v="0.2"/>
    <n v="0.2"/>
    <n v="0.8"/>
    <n v="0.5"/>
    <n v="0.5"/>
    <n v="1.5"/>
    <n v="0"/>
    <n v="0"/>
  </r>
  <r>
    <x v="1"/>
    <n v="1400.3"/>
    <n v="1330.4"/>
    <n v="1170.8"/>
    <n v="1442.1"/>
    <n v="1854.5"/>
    <n v="1085.9000000000001"/>
    <n v="1682.6"/>
    <n v="1125.0999999999999"/>
    <n v="1314.8044520000001"/>
  </r>
  <r>
    <x v="2"/>
    <n v="0"/>
    <n v="0"/>
    <n v="0"/>
    <n v="1512.6"/>
    <n v="35.5"/>
    <n v="714.2"/>
    <n v="729.1"/>
    <n v="757.7"/>
    <n v="46.470516000000003"/>
  </r>
  <r>
    <x v="3"/>
    <n v="386"/>
    <n v="33.700000000000003"/>
    <n v="31.7"/>
    <n v="35.6"/>
    <n v="20.399999999999999"/>
    <n v="32.5"/>
    <n v="45.9"/>
    <n v="50.1"/>
    <n v="56.548462000000001"/>
  </r>
  <r>
    <x v="4"/>
    <n v="3905"/>
    <n v="1764.5"/>
    <n v="1486.2"/>
    <n v="1567.5"/>
    <n v="1730.6"/>
    <n v="1522.8"/>
    <n v="1853"/>
    <n v="2007.2"/>
    <n v="2224.8628950000002"/>
  </r>
  <r>
    <x v="5"/>
    <n v="274.60000000000002"/>
    <n v="265"/>
    <n v="267.60000000000002"/>
    <n v="260.39999999999998"/>
    <n v="604.29999999999995"/>
    <n v="281.8"/>
    <n v="171.6"/>
    <n v="173.2"/>
    <n v="303.65776199999999"/>
  </r>
  <r>
    <x v="6"/>
    <n v="8.8000000000000007"/>
    <n v="25"/>
    <n v="24.2"/>
    <n v="43.3"/>
    <n v="32.200000000000003"/>
    <n v="61.4"/>
    <n v="35.1"/>
    <n v="40.4"/>
    <n v="48.132112999999997"/>
  </r>
  <r>
    <x v="7"/>
    <n v="61.7"/>
    <n v="77"/>
    <n v="72.8"/>
    <n v="65.099999999999994"/>
    <n v="52"/>
    <n v="3.7"/>
    <n v="42.7"/>
    <n v="51.9"/>
    <n v="60.285167000000001"/>
  </r>
  <r>
    <x v="8"/>
    <n v="25.4"/>
    <n v="9.5"/>
    <n v="1.3"/>
    <n v="12.5"/>
    <n v="15.7"/>
    <n v="11.2"/>
    <n v="10.9"/>
    <n v="23.2"/>
    <n v="688.94721300000003"/>
  </r>
  <r>
    <x v="9"/>
    <n v="0"/>
    <n v="0"/>
    <n v="0"/>
    <n v="0"/>
    <n v="0"/>
    <n v="0"/>
    <n v="0"/>
    <n v="5.0699999999999996E-4"/>
    <n v="0"/>
  </r>
  <r>
    <x v="10"/>
    <n v="347.8"/>
    <n v="73"/>
    <n v="83"/>
    <n v="89.7"/>
    <n v="962.42"/>
    <n v="23.8"/>
    <n v="44.9"/>
    <n v="125.9"/>
    <n v="148.55556300000001"/>
  </r>
  <r>
    <x v="11"/>
    <n v="268.5"/>
    <n v="498.6"/>
    <n v="152.80000000000001"/>
    <n v="307.5"/>
    <n v="184"/>
    <n v="230.4"/>
    <n v="184.5"/>
    <n v="242.2"/>
    <n v="252.93688700000001"/>
  </r>
  <r>
    <x v="12"/>
    <n v="15.1"/>
    <n v="14.6"/>
    <n v="25.3"/>
    <n v="21.6"/>
    <n v="61.7"/>
    <n v="100.7"/>
    <n v="115.3"/>
    <n v="69.7"/>
    <n v="48.763159000000002"/>
  </r>
  <r>
    <x v="13"/>
    <n v="420.1"/>
    <n v="487.9"/>
    <n v="393"/>
    <n v="250.8"/>
    <n v="164.6"/>
    <n v="452.6"/>
    <n v="345.1"/>
    <n v="426.6"/>
    <n v="581.77805799999999"/>
  </r>
  <r>
    <x v="14"/>
    <n v="14.7"/>
    <n v="24.3"/>
    <n v="23.2"/>
    <n v="13"/>
    <n v="20.100000000000001"/>
    <n v="50.2"/>
    <n v="39.200000000000003"/>
    <n v="31.7"/>
    <n v="51.60219"/>
  </r>
  <r>
    <x v="15"/>
    <n v="0.5"/>
    <n v="0"/>
    <n v="0"/>
    <n v="1.5"/>
    <n v="2.2000000000000002"/>
    <n v="2.6"/>
    <n v="2.2999999999999998"/>
    <n v="2.7"/>
    <n v="2.7289509999999999"/>
  </r>
  <r>
    <x v="16"/>
    <n v="681.1"/>
    <n v="560.5"/>
    <n v="810.9"/>
    <n v="344.6"/>
    <n v="1672.7"/>
    <n v="1023.1"/>
    <n v="721.2"/>
    <n v="843.7"/>
    <n v="937.24113399999999"/>
  </r>
  <r>
    <x v="17"/>
    <n v="300.39999999999998"/>
    <n v="338.7"/>
    <n v="926.7"/>
    <n v="353.8"/>
    <n v="375.4"/>
    <n v="386.9"/>
    <n v="1318.6"/>
    <n v="414.2"/>
    <n v="447.79056500000002"/>
  </r>
  <r>
    <x v="18"/>
    <n v="33.200000000000003"/>
    <n v="18.5"/>
    <n v="17.899999999999999"/>
    <n v="37.700000000000003"/>
    <n v="34.700000000000003"/>
    <n v="11.4"/>
    <n v="43.8"/>
    <n v="38.299999999999997"/>
    <n v="44.936357000000001"/>
  </r>
  <r>
    <x v="19"/>
    <n v="0.4"/>
    <n v="0.5"/>
    <n v="0.6"/>
    <n v="0.1"/>
    <n v="0.5"/>
    <n v="0"/>
    <n v="0.4"/>
    <n v="0.3"/>
    <n v="0.50103399999999998"/>
  </r>
  <r>
    <x v="20"/>
    <n v="0.6"/>
    <n v="0.8"/>
    <n v="0.8"/>
    <n v="2"/>
    <n v="0.68"/>
    <n v="0.9"/>
    <n v="0.4"/>
    <n v="0.7"/>
    <n v="1.014912"/>
  </r>
  <r>
    <x v="21"/>
    <n v="0"/>
    <n v="0"/>
    <n v="0"/>
    <n v="0"/>
    <n v="0"/>
    <n v="0"/>
    <n v="0"/>
    <n v="0.2"/>
    <n v="0.20380499999999999"/>
  </r>
  <r>
    <x v="22"/>
    <n v="0"/>
    <n v="0"/>
    <n v="0"/>
    <n v="0"/>
    <n v="0"/>
    <n v="0"/>
    <n v="0"/>
    <n v="0"/>
    <n v="0"/>
  </r>
  <r>
    <x v="23"/>
    <n v="1.9"/>
    <n v="3.2"/>
    <n v="5.3"/>
    <n v="12.5"/>
    <n v="45"/>
    <n v="48.9"/>
    <n v="8.5"/>
    <n v="11.4"/>
    <n v="9.6800219999999992"/>
  </r>
  <r>
    <x v="24"/>
    <n v="48.1"/>
    <n v="45.5"/>
    <n v="42"/>
    <n v="68.3"/>
    <n v="506.4"/>
    <n v="513.6"/>
    <n v="58.1"/>
    <n v="42.3"/>
    <n v="40.111448000000003"/>
  </r>
  <r>
    <x v="25"/>
    <n v="6.7"/>
    <n v="10.199999999999999"/>
    <n v="9.5"/>
    <n v="28.4"/>
    <n v="34"/>
    <n v="247"/>
    <n v="55.6"/>
    <n v="45.6"/>
    <n v="60.058135"/>
  </r>
  <r>
    <x v="26"/>
    <n v="9"/>
    <n v="12.6"/>
    <n v="292.89999999999998"/>
    <n v="10.6"/>
    <n v="10.199999999999999"/>
    <n v="8.1"/>
    <n v="10.7"/>
    <n v="7.7"/>
    <n v="12.404790999999999"/>
  </r>
  <r>
    <x v="27"/>
    <n v="312.89999999999998"/>
    <n v="37.299999999999997"/>
    <n v="299.89999999999998"/>
    <n v="320.39999999999998"/>
    <n v="290.7"/>
    <n v="313.8"/>
    <n v="85.5"/>
    <n v="3457.4"/>
    <n v="152.54327000000001"/>
  </r>
  <r>
    <x v="28"/>
    <n v="187.2"/>
    <n v="184.2"/>
    <n v="484.6"/>
    <n v="649.9"/>
    <n v="328.2"/>
    <n v="255.3"/>
    <n v="209.8"/>
    <n v="232.5"/>
    <n v="302.91862900000001"/>
  </r>
  <r>
    <x v="29"/>
    <n v="715.9"/>
    <n v="829"/>
    <n v="692.7"/>
    <n v="571.4"/>
    <n v="877.3"/>
    <n v="735.1"/>
    <n v="672.4"/>
    <n v="715.6"/>
    <n v="735.04765599999996"/>
  </r>
  <r>
    <x v="30"/>
    <n v="23.2"/>
    <n v="503.5"/>
    <n v="21.6"/>
    <n v="26.3"/>
    <n v="28.8"/>
    <n v="25.8"/>
    <n v="34.299999999999997"/>
    <n v="27.7"/>
    <n v="29.680016999999999"/>
  </r>
  <r>
    <x v="31"/>
    <n v="0"/>
    <n v="0"/>
    <n v="0"/>
    <n v="0"/>
    <n v="0"/>
    <n v="0"/>
    <n v="2.1"/>
    <n v="0.3"/>
    <n v="0.23519399999999999"/>
  </r>
  <r>
    <x v="32"/>
    <n v="9268.7999999999993"/>
    <n v="4177.2"/>
    <n v="3187.4"/>
    <n v="2214.6"/>
    <n v="2159.8000000000002"/>
    <n v="2292.1999999999998"/>
    <n v="1935.7"/>
    <n v="2552.6"/>
    <n v="2641.056638"/>
  </r>
  <r>
    <x v="33"/>
    <n v="17.7"/>
    <n v="22.6"/>
    <n v="13.8"/>
    <n v="24.9"/>
    <n v="28.6"/>
    <n v="27"/>
    <n v="36.9"/>
    <n v="26.1"/>
    <n v="41.575760000000002"/>
  </r>
  <r>
    <x v="34"/>
    <n v="22.6"/>
    <n v="34.9"/>
    <n v="36.1"/>
    <n v="37.9"/>
    <n v="37.4"/>
    <n v="10.4"/>
    <n v="11"/>
    <n v="10.5"/>
    <n v="12.778783000000001"/>
  </r>
  <r>
    <x v="35"/>
    <n v="314.5"/>
    <n v="235.7"/>
    <n v="413.2"/>
    <n v="333.4"/>
    <n v="284.39999999999998"/>
    <n v="296.5"/>
    <n v="277.8"/>
    <n v="305"/>
    <n v="378.85313100000002"/>
  </r>
  <r>
    <x v="36"/>
    <n v="597.29999999999995"/>
    <n v="884.7"/>
    <n v="730.3"/>
    <n v="925.4"/>
    <n v="1330.9"/>
    <n v="1048.5"/>
    <n v="1071"/>
    <n v="1163.2"/>
    <n v="1184.125045"/>
  </r>
  <r>
    <x v="37"/>
    <n v="0.8"/>
    <n v="0.8"/>
    <n v="0.7"/>
    <n v="0.6"/>
    <n v="0.7"/>
    <n v="0.7"/>
    <n v="0.7"/>
    <n v="0.6"/>
    <n v="0.41020800000000002"/>
  </r>
  <r>
    <x v="38"/>
    <n v="446.3"/>
    <n v="382.9"/>
    <n v="279.7"/>
    <n v="458.9"/>
    <n v="543.5"/>
    <n v="405.8"/>
    <n v="452.8"/>
    <n v="1586.6"/>
    <n v="622.56066099999998"/>
  </r>
  <r>
    <x v="39"/>
    <n v="2820.9"/>
    <n v="945.3"/>
    <n v="1477.9"/>
    <n v="847.1"/>
    <n v="878.2"/>
    <n v="931.5"/>
    <n v="776.9"/>
    <n v="812.2"/>
    <n v="840.5318730000000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22938"/>
    <m/>
  </r>
  <r>
    <x v="1"/>
    <n v="13832.3"/>
    <n v="-0.39697009329496907"/>
  </r>
  <r>
    <x v="2"/>
    <n v="13476.5"/>
    <n v="-2.5722403360250955E-2"/>
  </r>
  <r>
    <x v="3"/>
    <n v="12892.8"/>
    <n v="-4.3312432753311376E-2"/>
  </r>
  <r>
    <x v="4"/>
    <n v="15208.8"/>
    <n v="0.17963514519731943"/>
  </r>
  <r>
    <x v="5"/>
    <n v="13157.59"/>
    <n v="-0.13486994371679548"/>
  </r>
  <r>
    <x v="6"/>
    <n v="13088"/>
    <n v="-5.2889624923713342E-3"/>
  </r>
  <r>
    <x v="7"/>
    <n v="17422.099999999999"/>
    <n v="0.33115067237163803"/>
  </r>
  <r>
    <x v="8"/>
    <n v="14326.332456"/>
    <n v="-0.1776919856963281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n v="0.5"/>
    <n v="0"/>
    <n v="0"/>
    <n v="0.61"/>
    <n v="0.55386999999999997"/>
    <n v="0.52915999999999996"/>
    <n v="0.1"/>
    <n v="0.4"/>
    <n v="0.57553500000000002"/>
  </r>
  <r>
    <x v="1"/>
    <n v="2097.9"/>
    <n v="2329.6"/>
    <n v="2009.5"/>
    <n v="1766.2664"/>
    <n v="1917.451"/>
    <n v="1782.3498999999999"/>
    <n v="2225.5"/>
    <n v="1809"/>
    <n v="2168.852797"/>
  </r>
  <r>
    <x v="2"/>
    <n v="0"/>
    <n v="0.1"/>
    <n v="0.1"/>
    <n v="0.13019999999999998"/>
    <n v="0"/>
    <n v="0.15480000000000002"/>
    <n v="0"/>
    <n v="0.1"/>
    <n v="4.9436000000000001E-2"/>
  </r>
  <r>
    <x v="3"/>
    <n v="633.6"/>
    <n v="567"/>
    <n v="764.3"/>
    <n v="1517.751"/>
    <n v="1791.3938000000001"/>
    <n v="689.07940000000008"/>
    <n v="677"/>
    <n v="1847.1"/>
    <n v="953.51875199999995"/>
  </r>
  <r>
    <x v="4"/>
    <n v="2842.3"/>
    <n v="967.6"/>
    <n v="1494.6"/>
    <n v="875.15819999999997"/>
    <n v="883.66600000000005"/>
    <n v="950.88193000000001"/>
    <n v="833.6"/>
    <n v="839.4"/>
    <n v="872.08342500000003"/>
  </r>
  <r>
    <x v="5"/>
    <n v="606.1"/>
    <n v="909.7"/>
    <n v="754.5"/>
    <n v="1696.3887999999999"/>
    <n v="1363.0195000000001"/>
    <n v="1117.2814799999999"/>
    <n v="1816.9"/>
    <n v="1922.7"/>
    <n v="1240.715183"/>
  </r>
  <r>
    <x v="6"/>
    <n v="681.5"/>
    <n v="561"/>
    <n v="811.5"/>
    <n v="344.72309999999999"/>
    <n v="1673.2898"/>
    <n v="1023.5225600000001"/>
    <n v="721.6"/>
    <n v="844.1"/>
    <n v="937.74216799999999"/>
  </r>
  <r>
    <x v="7"/>
    <n v="300.39999999999998"/>
    <n v="338.7"/>
    <n v="926.7"/>
    <n v="353.79329999999999"/>
    <n v="375.43279999999999"/>
    <n v="386.86718999999999"/>
    <n v="1318.6"/>
    <n v="414.2"/>
    <n v="447.79056500000002"/>
  </r>
  <r>
    <x v="8"/>
    <n v="0"/>
    <n v="0"/>
    <n v="0"/>
    <n v="0.87320000000000009"/>
    <n v="1.6112"/>
    <n v="2.06731"/>
    <n v="2.2000000000000002"/>
    <n v="2.2999999999999998"/>
    <n v="2.153416"/>
  </r>
  <r>
    <x v="9"/>
    <n v="6.7"/>
    <n v="10.1"/>
    <n v="9.3000000000000007"/>
    <n v="28.308199999999999"/>
    <n v="33.922599999999996"/>
    <n v="246.84795000000003"/>
    <n v="55.6"/>
    <n v="45.5"/>
    <n v="60.072338000000002"/>
  </r>
  <r>
    <x v="10"/>
    <n v="715.9"/>
    <n v="829"/>
    <n v="692.7"/>
    <n v="571.39069999999992"/>
    <n v="877.34040000000005"/>
    <n v="735.09662000000003"/>
    <n v="672.4"/>
    <n v="715.6"/>
    <n v="735.08265600000004"/>
  </r>
  <r>
    <x v="11"/>
    <n v="33.200000000000003"/>
    <n v="18.5"/>
    <n v="17.899999999999999"/>
    <n v="37.704000000000001"/>
    <n v="34.727199999999996"/>
    <n v="11.42451"/>
    <n v="43.8"/>
    <n v="38.299999999999997"/>
    <n v="44.936357000000001"/>
  </r>
  <r>
    <x v="12"/>
    <n v="17.7"/>
    <n v="22.6"/>
    <n v="13.8"/>
    <n v="24.927700000000002"/>
    <n v="29.643099999999997"/>
    <n v="27.018330000000002"/>
    <n v="36.9"/>
    <n v="26.1"/>
    <n v="0"/>
  </r>
  <r>
    <x v="13"/>
    <n v="3883.6"/>
    <n v="1742.3"/>
    <n v="1469.4"/>
    <n v="1515.5303999999999"/>
    <n v="1482.8205"/>
    <n v="1505.40255"/>
    <n v="1798.3"/>
    <n v="1982.2"/>
    <n v="2195.3362229999998"/>
  </r>
  <r>
    <x v="14"/>
    <n v="0"/>
    <n v="0"/>
    <n v="0"/>
    <n v="0"/>
    <n v="0"/>
    <n v="2.0800000000000003E-3"/>
    <n v="0"/>
    <n v="5.1000000000000004E-4"/>
    <n v="41.575760000000002"/>
  </r>
  <r>
    <x v="15"/>
    <n v="386"/>
    <n v="33.700000000000003"/>
    <n v="31.7"/>
    <n v="35.626400000000004"/>
    <n v="20.383299999999998"/>
    <n v="32.536450000000002"/>
    <n v="45.9"/>
    <n v="50.1"/>
    <n v="56.548462000000001"/>
  </r>
  <r>
    <x v="16"/>
    <n v="0.6"/>
    <n v="0.8"/>
    <n v="0.8"/>
    <n v="1.9794"/>
    <n v="0.68510000000000004"/>
    <n v="0.88599000000000006"/>
    <n v="0.4"/>
    <n v="0.7"/>
    <n v="1.014912"/>
  </r>
  <r>
    <x v="17"/>
    <n v="37.299999999999997"/>
    <n v="59.1"/>
    <n v="59.3"/>
    <n v="50.4589"/>
    <n v="57.531999999999996"/>
    <n v="60.656279999999995"/>
    <n v="50.2"/>
    <n v="42.3"/>
    <n v="64.380972999999997"/>
  </r>
  <r>
    <x v="18"/>
    <n v="15.1"/>
    <n v="14.6"/>
    <n v="25.3"/>
    <n v="14.636100000000001"/>
    <n v="61.664300000000004"/>
    <n v="100.74181"/>
    <n v="115.3"/>
    <n v="69.7"/>
    <n v="48.763159000000002"/>
  </r>
  <r>
    <x v="19"/>
    <n v="1.9"/>
    <n v="3.2"/>
    <n v="5.3"/>
    <n v="12.462899999999999"/>
    <n v="45.015500000000003"/>
    <n v="48.91207"/>
    <n v="8.5"/>
    <n v="11.4"/>
    <n v="9.6800219999999992"/>
  </r>
  <r>
    <x v="20"/>
    <n v="48.1"/>
    <n v="45.5"/>
    <n v="42"/>
    <n v="30.815300000000001"/>
    <n v="36.303699999999999"/>
    <n v="513.60279000000003"/>
    <n v="58.1"/>
    <n v="42.3"/>
    <n v="40.111448000000003"/>
  </r>
  <r>
    <x v="21"/>
    <n v="23.2"/>
    <n v="503.5"/>
    <n v="21.6"/>
    <n v="25.809799999999999"/>
    <n v="28.192599999999999"/>
    <n v="25.849990000000002"/>
    <n v="34.299999999999997"/>
    <n v="27.8"/>
    <n v="29.680016999999999"/>
  </r>
  <r>
    <x v="22"/>
    <n v="274.60000000000002"/>
    <n v="265"/>
    <n v="267.60000000000002"/>
    <n v="260.40309999999999"/>
    <n v="1604.3106"/>
    <n v="281.82428999999996"/>
    <n v="171.6"/>
    <n v="173.2"/>
    <n v="303.65776199999999"/>
  </r>
  <r>
    <x v="23"/>
    <n v="373.1"/>
    <n v="82.8"/>
    <n v="84.5"/>
    <n v="844.3066"/>
    <n v="109.1978"/>
    <n v="705.82696999999996"/>
    <n v="57.2"/>
    <n v="149.1"/>
    <n v="837.50277600000004"/>
  </r>
  <r>
    <x v="24"/>
    <n v="61.7"/>
    <n v="77"/>
    <n v="72.8"/>
    <n v="65.128699999999995"/>
    <n v="51.952100000000002"/>
    <n v="3.6970500000000004"/>
    <n v="42.7"/>
    <n v="51.9"/>
    <n v="60.285167000000001"/>
  </r>
  <r>
    <x v="25"/>
    <n v="312.89999999999998"/>
    <n v="37.299999999999997"/>
    <n v="299.89999999999998"/>
    <n v="320.38650000000001"/>
    <n v="290.6567"/>
    <n v="315.02584000000002"/>
    <n v="86.8"/>
    <n v="3458.4"/>
    <n v="153.90311700000001"/>
  </r>
  <r>
    <x v="26"/>
    <n v="9584.1"/>
    <n v="4413.6000000000004"/>
    <n v="3601.4"/>
    <n v="2497.2293999999997"/>
    <n v="2438.0162"/>
    <n v="2589.4201200000002"/>
    <n v="2214.1"/>
    <n v="2858.2"/>
    <n v="3020.3199770000001"/>
  </r>
  <r>
    <x v="27"/>
    <n v="0"/>
    <n v="0"/>
    <n v="0"/>
    <n v="0"/>
    <n v="0"/>
    <n v="0"/>
    <n v="0"/>
    <n v="0"/>
    <n v="0"/>
  </r>
  <r>
    <x v="28"/>
    <n v="0"/>
    <n v="0"/>
    <n v="0"/>
    <n v="0"/>
    <n v="0"/>
    <n v="9.0639999999999998E-2"/>
    <n v="0.1"/>
    <n v="0"/>
    <n v="5.3000000000000001E-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3">
    <pivotField axis="axisRow" showAll="0">
      <items count="10">
        <item x="0"/>
        <item x="1"/>
        <item x="2"/>
        <item x="3"/>
        <item x="4"/>
        <item x="5"/>
        <item x="6"/>
        <item x="7"/>
        <item x="8"/>
        <item t="default"/>
      </items>
    </pivotField>
    <pivotField dataField="1" showAll="0"/>
    <pivotField showAll="0"/>
  </pivotFields>
  <rowFields count="1">
    <field x="0"/>
  </rowFields>
  <rowItems count="10">
    <i>
      <x/>
    </i>
    <i>
      <x v="1"/>
    </i>
    <i>
      <x v="2"/>
    </i>
    <i>
      <x v="3"/>
    </i>
    <i>
      <x v="4"/>
    </i>
    <i>
      <x v="5"/>
    </i>
    <i>
      <x v="6"/>
    </i>
    <i>
      <x v="7"/>
    </i>
    <i>
      <x v="8"/>
    </i>
    <i t="grand">
      <x/>
    </i>
  </rowItems>
  <colItems count="1">
    <i/>
  </colItems>
  <dataFields count="1">
    <dataField name="Suma de Consumo de energía eléctrica por el establecimiento industrial - Gigavatio hora (Gwh)" fld="1" baseField="0" baseItem="0" numFmtId="43"/>
  </dataFields>
  <formats count="1">
    <format dxfId="0">
      <pivotArea outline="0" collapsedLevelsAreSubtotals="1" fieldPosition="0"/>
    </format>
  </formats>
  <chartFormats count="1">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1" firstHeaderRow="0" firstDataRow="1" firstDataCol="1"/>
  <pivotFields count="10">
    <pivotField axis="axisRow"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8" series="1">
      <pivotArea type="data" outline="0" fieldPosition="0">
        <references count="1">
          <reference field="4294967294" count="1" selected="0">
            <x v="0"/>
          </reference>
        </references>
      </pivotArea>
    </chartFormat>
    <chartFormat chart="0" format="19" series="1">
      <pivotArea type="data" outline="0" fieldPosition="0">
        <references count="1">
          <reference field="4294967294" count="1" selected="0">
            <x v="1"/>
          </reference>
        </references>
      </pivotArea>
    </chartFormat>
    <chartFormat chart="0" format="20" series="1">
      <pivotArea type="data" outline="0" fieldPosition="0">
        <references count="1">
          <reference field="4294967294" count="1" selected="0">
            <x v="2"/>
          </reference>
        </references>
      </pivotArea>
    </chartFormat>
    <chartFormat chart="0" format="21" series="1">
      <pivotArea type="data" outline="0" fieldPosition="0">
        <references count="1">
          <reference field="4294967294" count="1" selected="0">
            <x v="3"/>
          </reference>
        </references>
      </pivotArea>
    </chartFormat>
    <chartFormat chart="0" format="22" series="1">
      <pivotArea type="data" outline="0" fieldPosition="0">
        <references count="1">
          <reference field="4294967294" count="1" selected="0">
            <x v="4"/>
          </reference>
        </references>
      </pivotArea>
    </chartFormat>
    <chartFormat chart="0" format="23" series="1">
      <pivotArea type="data" outline="0" fieldPosition="0">
        <references count="1">
          <reference field="4294967294" count="1" selected="0">
            <x v="5"/>
          </reference>
        </references>
      </pivotArea>
    </chartFormat>
    <chartFormat chart="0" format="24" series="1">
      <pivotArea type="data" outline="0" fieldPosition="0">
        <references count="1">
          <reference field="4294967294" count="1" selected="0">
            <x v="6"/>
          </reference>
        </references>
      </pivotArea>
    </chartFormat>
    <chartFormat chart="0" format="25" series="1">
      <pivotArea type="data" outline="0" fieldPosition="0">
        <references count="1">
          <reference field="4294967294" count="1" selected="0">
            <x v="7"/>
          </reference>
        </references>
      </pivotArea>
    </chartFormat>
    <chartFormat chart="0" format="26"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2" firstHeaderRow="0" firstDataRow="1" firstDataCol="1"/>
  <pivotFields count="10">
    <pivotField axis="axisRow"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8"/>
        <item x="37"/>
        <item x="36"/>
        <item x="39"/>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 dataField="1" showAll="0"/>
  </pivotFields>
  <rowFields count="1">
    <field x="0"/>
  </rowFields>
  <rowItems count="4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0" series="1">
      <pivotArea type="data" outline="0" fieldPosition="0">
        <references count="1">
          <reference field="4294967294" count="1" selected="0">
            <x v="0"/>
          </reference>
        </references>
      </pivotArea>
    </chartFormat>
    <chartFormat chart="0" format="11" series="1">
      <pivotArea type="data" outline="0" fieldPosition="0">
        <references count="1">
          <reference field="4294967294" count="1" selected="0">
            <x v="1"/>
          </reference>
        </references>
      </pivotArea>
    </chartFormat>
    <chartFormat chart="0" format="12" series="1">
      <pivotArea type="data" outline="0" fieldPosition="0">
        <references count="1">
          <reference field="4294967294" count="1" selected="0">
            <x v="2"/>
          </reference>
        </references>
      </pivotArea>
    </chartFormat>
    <chartFormat chart="0" format="13" series="1">
      <pivotArea type="data" outline="0" fieldPosition="0">
        <references count="1">
          <reference field="4294967294" count="1" selected="0">
            <x v="3"/>
          </reference>
        </references>
      </pivotArea>
    </chartFormat>
    <chartFormat chart="0" format="14" series="1">
      <pivotArea type="data" outline="0" fieldPosition="0">
        <references count="1">
          <reference field="4294967294" count="1" selected="0">
            <x v="4"/>
          </reference>
        </references>
      </pivotArea>
    </chartFormat>
    <chartFormat chart="0" format="15" series="1">
      <pivotArea type="data" outline="0" fieldPosition="0">
        <references count="1">
          <reference field="4294967294" count="1" selected="0">
            <x v="5"/>
          </reference>
        </references>
      </pivotArea>
    </chartFormat>
    <chartFormat chart="0" format="16" series="1">
      <pivotArea type="data" outline="0" fieldPosition="0">
        <references count="1">
          <reference field="4294967294" count="1" selected="0">
            <x v="6"/>
          </reference>
        </references>
      </pivotArea>
    </chartFormat>
    <chartFormat chart="0" format="17" series="1">
      <pivotArea type="data" outline="0" fieldPosition="0">
        <references count="1">
          <reference field="4294967294" count="1" selected="0">
            <x v="7"/>
          </reference>
        </references>
      </pivotArea>
    </chartFormat>
    <chartFormat chart="0" format="18"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3"/>
  <sheetViews>
    <sheetView showGridLines="0" tabSelected="1" zoomScale="90" zoomScaleNormal="90" workbookViewId="0"/>
  </sheetViews>
  <sheetFormatPr baseColWidth="10" defaultRowHeight="15" x14ac:dyDescent="0.25"/>
  <cols>
    <col min="2" max="2" width="18.28515625" customWidth="1"/>
    <col min="3" max="3" width="79.85546875" customWidth="1"/>
    <col min="4" max="4" width="19.7109375" customWidth="1"/>
  </cols>
  <sheetData>
    <row r="2" spans="2:4" ht="23.25" customHeight="1" x14ac:dyDescent="0.25"/>
    <row r="3" spans="2:4" ht="47.25" customHeight="1" x14ac:dyDescent="0.25"/>
    <row r="7" spans="2:4" ht="24.75" customHeight="1" x14ac:dyDescent="0.25">
      <c r="B7" s="62" t="s">
        <v>252</v>
      </c>
      <c r="C7" s="62"/>
      <c r="D7" s="62"/>
    </row>
    <row r="8" spans="2:4" ht="15.75" x14ac:dyDescent="0.25">
      <c r="B8" s="30" t="s">
        <v>1</v>
      </c>
      <c r="C8" s="31"/>
      <c r="D8" s="32" t="s">
        <v>2</v>
      </c>
    </row>
    <row r="9" spans="2:4" ht="17.25" x14ac:dyDescent="0.3">
      <c r="B9" s="11" t="s">
        <v>3</v>
      </c>
      <c r="C9" s="12" t="s">
        <v>4</v>
      </c>
      <c r="D9" s="12"/>
    </row>
    <row r="10" spans="2:4" ht="17.25" customHeight="1" x14ac:dyDescent="0.25">
      <c r="B10" s="51">
        <v>1</v>
      </c>
      <c r="C10" s="52" t="s">
        <v>71</v>
      </c>
      <c r="D10" s="51" t="s">
        <v>219</v>
      </c>
    </row>
    <row r="11" spans="2:4" ht="17.25" customHeight="1" x14ac:dyDescent="0.25">
      <c r="B11" s="51">
        <v>2</v>
      </c>
      <c r="C11" s="52" t="s">
        <v>214</v>
      </c>
      <c r="D11" s="51" t="s">
        <v>219</v>
      </c>
    </row>
    <row r="12" spans="2:4" ht="17.25" customHeight="1" x14ac:dyDescent="0.25">
      <c r="B12" s="51">
        <v>3</v>
      </c>
      <c r="C12" s="52" t="s">
        <v>72</v>
      </c>
      <c r="D12" s="51" t="s">
        <v>219</v>
      </c>
    </row>
    <row r="13" spans="2:4" ht="17.25" customHeight="1" x14ac:dyDescent="0.25">
      <c r="B13" s="51">
        <v>4</v>
      </c>
      <c r="C13" s="52" t="s">
        <v>73</v>
      </c>
      <c r="D13" s="51" t="s">
        <v>219</v>
      </c>
    </row>
  </sheetData>
  <mergeCells count="1">
    <mergeCell ref="B7:D7"/>
  </mergeCells>
  <hyperlinks>
    <hyperlink ref="C10" location="'Consumo energía nacional'!A1" display="Consumo de Energía Eléctrica en el Sector Manufacturero Nacional" xr:uid="{00000000-0004-0000-0000-000000000000}"/>
    <hyperlink ref="C11" location="'Consumo energía departamental'!A1" display="Consumo de Energía Eléctrica en el Sector Manufacturero Dapartamemtal" xr:uid="{00000000-0004-0000-0000-000001000000}"/>
    <hyperlink ref="C12" location="'Consumo energía AA'!A1" display="Consumo de Energía Eléctrica en el Sector Manufacturero Autoridad Ambiental" xr:uid="{00000000-0004-0000-0000-000002000000}"/>
    <hyperlink ref="C13" location="'Consumo energía CIIU'!A1" display="Consumo de Energía Eléctrica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2"/>
  <sheetViews>
    <sheetView showGridLines="0" zoomScale="90" zoomScaleNormal="90" workbookViewId="0"/>
  </sheetViews>
  <sheetFormatPr baseColWidth="10" defaultColWidth="11.42578125" defaultRowHeight="12.75" x14ac:dyDescent="0.2"/>
  <cols>
    <col min="1" max="1" width="7.28515625" style="1" customWidth="1"/>
    <col min="2" max="2" width="28.28515625" style="1" customWidth="1"/>
    <col min="3" max="3" width="37.140625" style="1" customWidth="1"/>
    <col min="4" max="4" width="31.42578125" style="1" customWidth="1"/>
    <col min="5" max="5" width="12.5703125" style="1" bestFit="1" customWidth="1"/>
    <col min="6" max="16384" width="11.42578125" style="1"/>
  </cols>
  <sheetData>
    <row r="1" spans="2:17" ht="24.75" customHeight="1" x14ac:dyDescent="0.2"/>
    <row r="2" spans="2:17" ht="84" customHeight="1" x14ac:dyDescent="0.2"/>
    <row r="3" spans="2:17" ht="33.75" customHeight="1" x14ac:dyDescent="0.2">
      <c r="B3" s="64" t="s">
        <v>250</v>
      </c>
      <c r="C3" s="64"/>
      <c r="D3" s="64"/>
    </row>
    <row r="5" spans="2:17" ht="42.75" customHeight="1" x14ac:dyDescent="0.2">
      <c r="B5" s="56" t="s">
        <v>0</v>
      </c>
      <c r="C5" s="56" t="s">
        <v>74</v>
      </c>
      <c r="D5" s="57" t="s">
        <v>237</v>
      </c>
    </row>
    <row r="6" spans="2:17" ht="21" customHeight="1" x14ac:dyDescent="0.2">
      <c r="B6" s="53">
        <v>2014</v>
      </c>
      <c r="C6" s="58">
        <v>22938</v>
      </c>
      <c r="D6" s="54" t="s">
        <v>249</v>
      </c>
    </row>
    <row r="7" spans="2:17" ht="21" customHeight="1" x14ac:dyDescent="0.2">
      <c r="B7" s="53">
        <v>2015</v>
      </c>
      <c r="C7" s="54">
        <v>13832.3</v>
      </c>
      <c r="D7" s="55">
        <f t="shared" ref="D7:D14" si="0">(C7-C6)/C6</f>
        <v>-0.39697009329496907</v>
      </c>
      <c r="E7" s="5"/>
    </row>
    <row r="8" spans="2:17" ht="21" customHeight="1" x14ac:dyDescent="0.2">
      <c r="B8" s="53">
        <v>2016</v>
      </c>
      <c r="C8" s="54">
        <v>13476.5</v>
      </c>
      <c r="D8" s="55">
        <f t="shared" si="0"/>
        <v>-2.5722403360250955E-2</v>
      </c>
      <c r="E8" s="5"/>
    </row>
    <row r="9" spans="2:17" ht="21" customHeight="1" x14ac:dyDescent="0.2">
      <c r="B9" s="53">
        <v>2017</v>
      </c>
      <c r="C9" s="54">
        <v>12892.8</v>
      </c>
      <c r="D9" s="55">
        <f t="shared" si="0"/>
        <v>-4.3312432753311376E-2</v>
      </c>
      <c r="E9" s="5"/>
    </row>
    <row r="10" spans="2:17" ht="21" customHeight="1" x14ac:dyDescent="0.2">
      <c r="B10" s="53">
        <v>2018</v>
      </c>
      <c r="C10" s="54">
        <v>15208.8</v>
      </c>
      <c r="D10" s="55">
        <f t="shared" si="0"/>
        <v>0.17963514519731943</v>
      </c>
      <c r="E10" s="5"/>
    </row>
    <row r="11" spans="2:17" ht="21" customHeight="1" x14ac:dyDescent="0.2">
      <c r="B11" s="53">
        <v>2019</v>
      </c>
      <c r="C11" s="54">
        <v>13157.59</v>
      </c>
      <c r="D11" s="55">
        <f t="shared" si="0"/>
        <v>-0.13486994371679548</v>
      </c>
      <c r="E11" s="5"/>
    </row>
    <row r="12" spans="2:17" ht="21" customHeight="1" x14ac:dyDescent="0.2">
      <c r="B12" s="53">
        <v>2020</v>
      </c>
      <c r="C12" s="54">
        <v>13088</v>
      </c>
      <c r="D12" s="55">
        <f t="shared" si="0"/>
        <v>-5.2889624923713342E-3</v>
      </c>
      <c r="E12" s="5"/>
    </row>
    <row r="13" spans="2:17" ht="21" customHeight="1" x14ac:dyDescent="0.2">
      <c r="B13" s="53">
        <v>2021</v>
      </c>
      <c r="C13" s="54">
        <v>17422.099999999999</v>
      </c>
      <c r="D13" s="55">
        <f t="shared" si="0"/>
        <v>0.33115067237163803</v>
      </c>
      <c r="E13" s="5"/>
    </row>
    <row r="14" spans="2:17" ht="21" customHeight="1" x14ac:dyDescent="0.2">
      <c r="B14" s="53">
        <v>2022</v>
      </c>
      <c r="C14" s="54">
        <v>14326.332456</v>
      </c>
      <c r="D14" s="55">
        <f t="shared" si="0"/>
        <v>-0.17769198569632816</v>
      </c>
      <c r="E14" s="5"/>
    </row>
    <row r="15" spans="2:17" ht="11.25" customHeight="1" x14ac:dyDescent="0.2">
      <c r="B15" s="6"/>
      <c r="C15" s="7"/>
      <c r="D15" s="8"/>
      <c r="E15" s="5"/>
    </row>
    <row r="16" spans="2:17" ht="39.75" customHeight="1" x14ac:dyDescent="0.2">
      <c r="B16" s="65" t="s">
        <v>240</v>
      </c>
      <c r="C16" s="65"/>
      <c r="D16" s="65"/>
      <c r="E16" s="2"/>
      <c r="F16" s="2"/>
      <c r="G16" s="2"/>
      <c r="H16" s="2"/>
      <c r="I16" s="2"/>
      <c r="J16" s="2"/>
      <c r="K16" s="2"/>
      <c r="L16" s="2"/>
      <c r="M16" s="2"/>
      <c r="N16" s="2"/>
      <c r="O16" s="2"/>
      <c r="P16" s="2"/>
      <c r="Q16" s="2"/>
    </row>
    <row r="17" spans="2:17" ht="22.5" customHeight="1" x14ac:dyDescent="0.2">
      <c r="B17" s="66" t="s">
        <v>236</v>
      </c>
      <c r="C17" s="67"/>
      <c r="D17" s="67"/>
      <c r="E17" s="3"/>
      <c r="F17" s="3"/>
      <c r="G17" s="3"/>
      <c r="H17" s="3"/>
      <c r="I17" s="3"/>
      <c r="J17" s="3"/>
      <c r="K17" s="3"/>
      <c r="L17" s="3"/>
      <c r="M17" s="3"/>
      <c r="N17" s="3"/>
      <c r="O17" s="3"/>
      <c r="P17" s="3"/>
      <c r="Q17" s="3"/>
    </row>
    <row r="18" spans="2:17" ht="72.75" customHeight="1" x14ac:dyDescent="0.2">
      <c r="B18" s="68" t="s">
        <v>245</v>
      </c>
      <c r="C18" s="68"/>
      <c r="D18" s="68"/>
      <c r="E18" s="4"/>
      <c r="F18" s="4"/>
      <c r="G18" s="4"/>
      <c r="H18" s="4"/>
      <c r="I18" s="4"/>
      <c r="J18" s="4"/>
      <c r="K18" s="4"/>
    </row>
    <row r="19" spans="2:17" ht="57.75" customHeight="1" x14ac:dyDescent="0.2">
      <c r="B19" s="68"/>
      <c r="C19" s="68"/>
      <c r="D19" s="68"/>
    </row>
    <row r="20" spans="2:17" ht="70.5" customHeight="1" x14ac:dyDescent="0.2">
      <c r="B20" s="69" t="s">
        <v>246</v>
      </c>
      <c r="C20" s="69"/>
      <c r="D20" s="69"/>
    </row>
    <row r="21" spans="2:17" ht="12.75" customHeight="1" x14ac:dyDescent="0.2">
      <c r="B21" s="63" t="s">
        <v>239</v>
      </c>
      <c r="C21" s="63"/>
      <c r="D21" s="63"/>
    </row>
    <row r="22" spans="2:17" x14ac:dyDescent="0.2">
      <c r="B22" s="9"/>
      <c r="C22" s="10"/>
      <c r="D22" s="10"/>
    </row>
  </sheetData>
  <mergeCells count="6">
    <mergeCell ref="B21:D21"/>
    <mergeCell ref="B3:D3"/>
    <mergeCell ref="B16:D16"/>
    <mergeCell ref="B17:D17"/>
    <mergeCell ref="B18:D19"/>
    <mergeCell ref="B20:D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23" sqref="B23"/>
    </sheetView>
  </sheetViews>
  <sheetFormatPr baseColWidth="10" defaultRowHeight="15" x14ac:dyDescent="0.25"/>
  <cols>
    <col min="1" max="1" width="17.5703125" bestFit="1" customWidth="1"/>
    <col min="2" max="2" width="86.85546875" bestFit="1" customWidth="1"/>
  </cols>
  <sheetData>
    <row r="1" spans="1:2" x14ac:dyDescent="0.25">
      <c r="A1" s="25" t="s">
        <v>216</v>
      </c>
      <c r="B1" t="s">
        <v>218</v>
      </c>
    </row>
    <row r="2" spans="1:2" x14ac:dyDescent="0.25">
      <c r="A2" s="26">
        <v>2014</v>
      </c>
      <c r="B2" s="29">
        <v>22938</v>
      </c>
    </row>
    <row r="3" spans="1:2" x14ac:dyDescent="0.25">
      <c r="A3" s="26">
        <v>2015</v>
      </c>
      <c r="B3" s="29">
        <v>13832.3</v>
      </c>
    </row>
    <row r="4" spans="1:2" x14ac:dyDescent="0.25">
      <c r="A4" s="26">
        <v>2016</v>
      </c>
      <c r="B4" s="29">
        <v>13476.5</v>
      </c>
    </row>
    <row r="5" spans="1:2" x14ac:dyDescent="0.25">
      <c r="A5" s="26">
        <v>2017</v>
      </c>
      <c r="B5" s="29">
        <v>12892.8</v>
      </c>
    </row>
    <row r="6" spans="1:2" x14ac:dyDescent="0.25">
      <c r="A6" s="26">
        <v>2018</v>
      </c>
      <c r="B6" s="29">
        <v>15208.8</v>
      </c>
    </row>
    <row r="7" spans="1:2" x14ac:dyDescent="0.25">
      <c r="A7" s="26">
        <v>2019</v>
      </c>
      <c r="B7" s="29">
        <v>13157.59</v>
      </c>
    </row>
    <row r="8" spans="1:2" x14ac:dyDescent="0.25">
      <c r="A8" s="26">
        <v>2020</v>
      </c>
      <c r="B8" s="29">
        <v>13088</v>
      </c>
    </row>
    <row r="9" spans="1:2" x14ac:dyDescent="0.25">
      <c r="A9" s="26">
        <v>2021</v>
      </c>
      <c r="B9" s="29">
        <v>17422.099999999999</v>
      </c>
    </row>
    <row r="10" spans="1:2" x14ac:dyDescent="0.25">
      <c r="A10" s="26">
        <v>2022</v>
      </c>
      <c r="B10" s="29">
        <v>14326.332456</v>
      </c>
    </row>
    <row r="11" spans="1:2" x14ac:dyDescent="0.25">
      <c r="A11" s="26" t="s">
        <v>217</v>
      </c>
      <c r="B11" s="29">
        <v>136342.422456</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5"/>
  <sheetViews>
    <sheetView showGridLines="0" zoomScale="90" zoomScaleNormal="90" workbookViewId="0"/>
  </sheetViews>
  <sheetFormatPr baseColWidth="10" defaultRowHeight="15" x14ac:dyDescent="0.25"/>
  <cols>
    <col min="1" max="1" width="4.85546875" customWidth="1"/>
    <col min="2" max="2" width="25.5703125" customWidth="1"/>
    <col min="3" max="4" width="11.42578125" customWidth="1"/>
    <col min="12" max="12" width="0" hidden="1" customWidth="1"/>
    <col min="13" max="13" width="11.85546875" bestFit="1" customWidth="1"/>
    <col min="14" max="14" width="16" customWidth="1"/>
  </cols>
  <sheetData>
    <row r="1" spans="2:12" ht="28.5" customHeight="1" x14ac:dyDescent="0.25"/>
    <row r="7" spans="2:12" ht="22.5" customHeight="1" x14ac:dyDescent="0.25">
      <c r="B7" s="64" t="s">
        <v>251</v>
      </c>
      <c r="C7" s="64"/>
      <c r="D7" s="64"/>
      <c r="E7" s="64"/>
      <c r="F7" s="64"/>
      <c r="G7" s="64"/>
      <c r="H7" s="64"/>
      <c r="I7" s="64"/>
      <c r="J7" s="64"/>
      <c r="K7" s="64"/>
    </row>
    <row r="8" spans="2:12" ht="15.75" thickBot="1" x14ac:dyDescent="0.3">
      <c r="B8" s="1"/>
      <c r="C8" s="1"/>
      <c r="D8" s="1"/>
      <c r="E8" s="1"/>
      <c r="F8" s="1"/>
      <c r="G8" s="1"/>
      <c r="H8" s="1"/>
      <c r="I8" s="1"/>
      <c r="J8" s="1"/>
      <c r="K8" s="1"/>
    </row>
    <row r="9" spans="2:12" ht="22.5" customHeight="1" x14ac:dyDescent="0.25">
      <c r="B9" s="71" t="s">
        <v>29</v>
      </c>
      <c r="C9" s="13">
        <v>2014</v>
      </c>
      <c r="D9" s="13">
        <v>2015</v>
      </c>
      <c r="E9" s="13">
        <v>2016</v>
      </c>
      <c r="F9" s="13">
        <v>2017</v>
      </c>
      <c r="G9" s="13">
        <v>2018</v>
      </c>
      <c r="H9" s="14">
        <v>2019</v>
      </c>
      <c r="I9" s="14">
        <v>2020</v>
      </c>
      <c r="J9" s="14">
        <v>2021</v>
      </c>
      <c r="K9" s="14">
        <v>2022</v>
      </c>
      <c r="L9" s="22">
        <v>1000</v>
      </c>
    </row>
    <row r="10" spans="2:12" ht="22.5" customHeight="1" x14ac:dyDescent="0.25">
      <c r="B10" s="72"/>
      <c r="C10" s="73" t="s">
        <v>74</v>
      </c>
      <c r="D10" s="73"/>
      <c r="E10" s="73"/>
      <c r="F10" s="73"/>
      <c r="G10" s="73"/>
      <c r="H10" s="73"/>
      <c r="I10" s="73"/>
      <c r="J10" s="73"/>
      <c r="K10" s="73"/>
    </row>
    <row r="11" spans="2:12" x14ac:dyDescent="0.25">
      <c r="B11" s="15" t="s">
        <v>30</v>
      </c>
      <c r="C11" s="34">
        <v>0.5</v>
      </c>
      <c r="D11" s="34">
        <v>0</v>
      </c>
      <c r="E11" s="34">
        <v>0</v>
      </c>
      <c r="F11" s="34">
        <f>610/L$9</f>
        <v>0.61</v>
      </c>
      <c r="G11" s="35">
        <f>553.87/L$9</f>
        <v>0.55386999999999997</v>
      </c>
      <c r="H11" s="35">
        <v>0.52915999999999996</v>
      </c>
      <c r="I11" s="36">
        <v>0.1</v>
      </c>
      <c r="J11" s="36">
        <v>0.4</v>
      </c>
      <c r="K11" s="36">
        <v>0.57553500000000002</v>
      </c>
    </row>
    <row r="12" spans="2:12" x14ac:dyDescent="0.25">
      <c r="B12" s="15" t="s">
        <v>5</v>
      </c>
      <c r="C12" s="37">
        <v>2097.9</v>
      </c>
      <c r="D12" s="37">
        <v>2329.6</v>
      </c>
      <c r="E12" s="37">
        <v>2009.5</v>
      </c>
      <c r="F12" s="37">
        <f>1766266.4/L$9</f>
        <v>1766.2664</v>
      </c>
      <c r="G12" s="38">
        <f>1917451/L$9</f>
        <v>1917.451</v>
      </c>
      <c r="H12" s="38">
        <v>1782.3498999999999</v>
      </c>
      <c r="I12" s="39">
        <v>2225.5</v>
      </c>
      <c r="J12" s="39">
        <v>1809</v>
      </c>
      <c r="K12" s="36">
        <v>2168.852797</v>
      </c>
    </row>
    <row r="13" spans="2:12" x14ac:dyDescent="0.25">
      <c r="B13" s="15" t="s">
        <v>6</v>
      </c>
      <c r="C13" s="37">
        <v>0</v>
      </c>
      <c r="D13" s="37">
        <v>0.1</v>
      </c>
      <c r="E13" s="37">
        <v>0.1</v>
      </c>
      <c r="F13" s="37">
        <f>130.2/L$9</f>
        <v>0.13019999999999998</v>
      </c>
      <c r="G13" s="38">
        <v>0</v>
      </c>
      <c r="H13" s="38">
        <v>0.15480000000000002</v>
      </c>
      <c r="I13" s="39">
        <v>0</v>
      </c>
      <c r="J13" s="39">
        <v>0.1</v>
      </c>
      <c r="K13" s="36">
        <v>4.9436000000000001E-2</v>
      </c>
    </row>
    <row r="14" spans="2:12" x14ac:dyDescent="0.25">
      <c r="B14" s="15" t="s">
        <v>7</v>
      </c>
      <c r="C14" s="37">
        <v>633.6</v>
      </c>
      <c r="D14" s="37">
        <v>567</v>
      </c>
      <c r="E14" s="37">
        <v>764.3</v>
      </c>
      <c r="F14" s="37">
        <f>1517751/L$9</f>
        <v>1517.751</v>
      </c>
      <c r="G14" s="38">
        <f>1791393.8/L$9</f>
        <v>1791.3938000000001</v>
      </c>
      <c r="H14" s="38">
        <v>689.07940000000008</v>
      </c>
      <c r="I14" s="39">
        <v>677</v>
      </c>
      <c r="J14" s="39">
        <v>1847.1</v>
      </c>
      <c r="K14" s="36">
        <v>953.51875199999995</v>
      </c>
    </row>
    <row r="15" spans="2:12" x14ac:dyDescent="0.25">
      <c r="B15" s="15" t="s">
        <v>8</v>
      </c>
      <c r="C15" s="37">
        <v>2842.3</v>
      </c>
      <c r="D15" s="37">
        <v>967.6</v>
      </c>
      <c r="E15" s="37">
        <v>1494.6</v>
      </c>
      <c r="F15" s="37">
        <f>875158.2/L$9</f>
        <v>875.15819999999997</v>
      </c>
      <c r="G15" s="38">
        <f>883666/L$9</f>
        <v>883.66600000000005</v>
      </c>
      <c r="H15" s="40">
        <v>950.88193000000001</v>
      </c>
      <c r="I15" s="39">
        <v>833.6</v>
      </c>
      <c r="J15" s="39">
        <v>839.4</v>
      </c>
      <c r="K15" s="36">
        <v>872.08342500000003</v>
      </c>
    </row>
    <row r="16" spans="2:12" x14ac:dyDescent="0.25">
      <c r="B16" s="15" t="s">
        <v>9</v>
      </c>
      <c r="C16" s="37">
        <v>606.1</v>
      </c>
      <c r="D16" s="37">
        <v>909.7</v>
      </c>
      <c r="E16" s="37">
        <v>754.5</v>
      </c>
      <c r="F16" s="37">
        <f>1696388.8/L$9</f>
        <v>1696.3887999999999</v>
      </c>
      <c r="G16" s="38">
        <f>1363019.5/L$9</f>
        <v>1363.0195000000001</v>
      </c>
      <c r="H16" s="38">
        <v>1117.2814799999999</v>
      </c>
      <c r="I16" s="39">
        <v>1816.9</v>
      </c>
      <c r="J16" s="39">
        <v>1922.7</v>
      </c>
      <c r="K16" s="36">
        <v>1240.715183</v>
      </c>
    </row>
    <row r="17" spans="2:11" x14ac:dyDescent="0.25">
      <c r="B17" s="15" t="s">
        <v>10</v>
      </c>
      <c r="C17" s="37">
        <v>681.5</v>
      </c>
      <c r="D17" s="37">
        <v>561</v>
      </c>
      <c r="E17" s="37">
        <v>811.5</v>
      </c>
      <c r="F17" s="37">
        <f>344723.1/L$9</f>
        <v>344.72309999999999</v>
      </c>
      <c r="G17" s="38">
        <f>1673289.8/L$9</f>
        <v>1673.2898</v>
      </c>
      <c r="H17" s="38">
        <v>1023.5225600000001</v>
      </c>
      <c r="I17" s="39">
        <v>721.6</v>
      </c>
      <c r="J17" s="39">
        <v>844.1</v>
      </c>
      <c r="K17" s="36">
        <v>937.74216799999999</v>
      </c>
    </row>
    <row r="18" spans="2:11" x14ac:dyDescent="0.25">
      <c r="B18" s="15" t="s">
        <v>75</v>
      </c>
      <c r="C18" s="37">
        <v>300.39999999999998</v>
      </c>
      <c r="D18" s="37">
        <v>338.7</v>
      </c>
      <c r="E18" s="37">
        <v>926.7</v>
      </c>
      <c r="F18" s="37">
        <f>353793.3/L$9</f>
        <v>353.79329999999999</v>
      </c>
      <c r="G18" s="38">
        <f>375432.8/L$9</f>
        <v>375.43279999999999</v>
      </c>
      <c r="H18" s="38">
        <v>386.86718999999999</v>
      </c>
      <c r="I18" s="39">
        <v>1318.6</v>
      </c>
      <c r="J18" s="39">
        <v>414.2</v>
      </c>
      <c r="K18" s="36">
        <v>447.79056500000002</v>
      </c>
    </row>
    <row r="19" spans="2:11" x14ac:dyDescent="0.25">
      <c r="B19" s="15" t="s">
        <v>11</v>
      </c>
      <c r="C19" s="37">
        <v>0</v>
      </c>
      <c r="D19" s="37">
        <v>0</v>
      </c>
      <c r="E19" s="37">
        <v>0</v>
      </c>
      <c r="F19" s="37">
        <f>873.2/L$9</f>
        <v>0.87320000000000009</v>
      </c>
      <c r="G19" s="38">
        <f>1611.2/L$9</f>
        <v>1.6112</v>
      </c>
      <c r="H19" s="38">
        <v>2.06731</v>
      </c>
      <c r="I19" s="39">
        <v>2.2000000000000002</v>
      </c>
      <c r="J19" s="39">
        <v>2.2999999999999998</v>
      </c>
      <c r="K19" s="36">
        <v>2.153416</v>
      </c>
    </row>
    <row r="20" spans="2:11" x14ac:dyDescent="0.25">
      <c r="B20" s="15" t="s">
        <v>12</v>
      </c>
      <c r="C20" s="37">
        <v>6.7</v>
      </c>
      <c r="D20" s="37">
        <v>10.1</v>
      </c>
      <c r="E20" s="37">
        <v>9.3000000000000007</v>
      </c>
      <c r="F20" s="37">
        <f>28308.2/L$9</f>
        <v>28.308199999999999</v>
      </c>
      <c r="G20" s="38">
        <f>33922.6/L$9</f>
        <v>33.922599999999996</v>
      </c>
      <c r="H20" s="38">
        <v>246.84795000000003</v>
      </c>
      <c r="I20" s="39">
        <v>55.6</v>
      </c>
      <c r="J20" s="39">
        <v>45.5</v>
      </c>
      <c r="K20" s="36">
        <v>60.072338000000002</v>
      </c>
    </row>
    <row r="21" spans="2:11" x14ac:dyDescent="0.25">
      <c r="B21" s="15" t="s">
        <v>13</v>
      </c>
      <c r="C21" s="37">
        <v>715.9</v>
      </c>
      <c r="D21" s="37">
        <v>829</v>
      </c>
      <c r="E21" s="37">
        <v>692.7</v>
      </c>
      <c r="F21" s="37">
        <f>571390.7/L$9</f>
        <v>571.39069999999992</v>
      </c>
      <c r="G21" s="38">
        <f>877340.4/L$9</f>
        <v>877.34040000000005</v>
      </c>
      <c r="H21" s="38">
        <v>735.09662000000003</v>
      </c>
      <c r="I21" s="39">
        <v>672.4</v>
      </c>
      <c r="J21" s="39">
        <v>715.6</v>
      </c>
      <c r="K21" s="36">
        <v>735.08265600000004</v>
      </c>
    </row>
    <row r="22" spans="2:11" x14ac:dyDescent="0.25">
      <c r="B22" s="15" t="s">
        <v>14</v>
      </c>
      <c r="C22" s="37">
        <v>33.200000000000003</v>
      </c>
      <c r="D22" s="37">
        <v>18.5</v>
      </c>
      <c r="E22" s="37">
        <v>17.899999999999999</v>
      </c>
      <c r="F22" s="37">
        <f>37704/L$9</f>
        <v>37.704000000000001</v>
      </c>
      <c r="G22" s="38">
        <f>34727.2/L$9</f>
        <v>34.727199999999996</v>
      </c>
      <c r="H22" s="38">
        <v>11.42451</v>
      </c>
      <c r="I22" s="39">
        <v>43.8</v>
      </c>
      <c r="J22" s="39">
        <v>38.299999999999997</v>
      </c>
      <c r="K22" s="36">
        <v>44.936357000000001</v>
      </c>
    </row>
    <row r="23" spans="2:11" x14ac:dyDescent="0.25">
      <c r="B23" s="15" t="s">
        <v>15</v>
      </c>
      <c r="C23" s="37">
        <v>17.7</v>
      </c>
      <c r="D23" s="37">
        <v>22.6</v>
      </c>
      <c r="E23" s="37">
        <v>13.8</v>
      </c>
      <c r="F23" s="37">
        <f>24927.7/L$9</f>
        <v>24.927700000000002</v>
      </c>
      <c r="G23" s="38">
        <f>29643.1/L$9</f>
        <v>29.643099999999997</v>
      </c>
      <c r="H23" s="38">
        <v>27.018330000000002</v>
      </c>
      <c r="I23" s="39">
        <v>36.9</v>
      </c>
      <c r="J23" s="39">
        <v>26.1</v>
      </c>
      <c r="K23" s="36">
        <v>0</v>
      </c>
    </row>
    <row r="24" spans="2:11" x14ac:dyDescent="0.25">
      <c r="B24" s="15" t="s">
        <v>16</v>
      </c>
      <c r="C24" s="37">
        <v>3883.6</v>
      </c>
      <c r="D24" s="37">
        <v>1742.3</v>
      </c>
      <c r="E24" s="37">
        <v>1469.4</v>
      </c>
      <c r="F24" s="37">
        <f>1515530.4/L$9</f>
        <v>1515.5303999999999</v>
      </c>
      <c r="G24" s="38">
        <f>1482820.5/L$9</f>
        <v>1482.8205</v>
      </c>
      <c r="H24" s="38">
        <v>1505.40255</v>
      </c>
      <c r="I24" s="39">
        <v>1798.3</v>
      </c>
      <c r="J24" s="39">
        <v>1982.2</v>
      </c>
      <c r="K24" s="36">
        <v>2195.3362229999998</v>
      </c>
    </row>
    <row r="25" spans="2:11" x14ac:dyDescent="0.25">
      <c r="B25" s="15" t="s">
        <v>76</v>
      </c>
      <c r="C25" s="39">
        <v>0</v>
      </c>
      <c r="D25" s="39">
        <v>0</v>
      </c>
      <c r="E25" s="39">
        <v>0</v>
      </c>
      <c r="F25" s="39">
        <v>0</v>
      </c>
      <c r="G25" s="39">
        <v>0</v>
      </c>
      <c r="H25" s="47">
        <v>2.0800000000000003E-3</v>
      </c>
      <c r="I25" s="48">
        <v>0</v>
      </c>
      <c r="J25" s="41">
        <f>0.51/1000</f>
        <v>5.1000000000000004E-4</v>
      </c>
      <c r="K25" s="36">
        <v>41.575760000000002</v>
      </c>
    </row>
    <row r="26" spans="2:11" x14ac:dyDescent="0.25">
      <c r="B26" s="15" t="s">
        <v>17</v>
      </c>
      <c r="C26" s="37">
        <v>386</v>
      </c>
      <c r="D26" s="37">
        <v>33.700000000000003</v>
      </c>
      <c r="E26" s="37">
        <v>31.7</v>
      </c>
      <c r="F26" s="37">
        <f>35626.4/L$9</f>
        <v>35.626400000000004</v>
      </c>
      <c r="G26" s="38">
        <f>20383.3/L$9</f>
        <v>20.383299999999998</v>
      </c>
      <c r="H26" s="47">
        <v>32.536450000000002</v>
      </c>
      <c r="I26" s="48">
        <v>45.9</v>
      </c>
      <c r="J26" s="39">
        <v>50.1</v>
      </c>
      <c r="K26" s="36">
        <v>56.548462000000001</v>
      </c>
    </row>
    <row r="27" spans="2:11" x14ac:dyDescent="0.25">
      <c r="B27" s="15" t="s">
        <v>18</v>
      </c>
      <c r="C27" s="37">
        <v>0.6</v>
      </c>
      <c r="D27" s="37">
        <v>0.8</v>
      </c>
      <c r="E27" s="37">
        <v>0.8</v>
      </c>
      <c r="F27" s="37">
        <f>1979.4/L$9</f>
        <v>1.9794</v>
      </c>
      <c r="G27" s="38">
        <f>685.1/L$9</f>
        <v>0.68510000000000004</v>
      </c>
      <c r="H27" s="47">
        <v>0.88599000000000006</v>
      </c>
      <c r="I27" s="48">
        <v>0.4</v>
      </c>
      <c r="J27" s="39">
        <v>0.7</v>
      </c>
      <c r="K27" s="36">
        <v>1.014912</v>
      </c>
    </row>
    <row r="28" spans="2:11" x14ac:dyDescent="0.25">
      <c r="B28" s="15" t="s">
        <v>19</v>
      </c>
      <c r="C28" s="37">
        <v>37.299999999999997</v>
      </c>
      <c r="D28" s="37">
        <v>59.1</v>
      </c>
      <c r="E28" s="37">
        <v>59.3</v>
      </c>
      <c r="F28" s="37">
        <f>50458.9/L$9</f>
        <v>50.4589</v>
      </c>
      <c r="G28" s="38">
        <f>57532/L$9</f>
        <v>57.531999999999996</v>
      </c>
      <c r="H28" s="47">
        <v>60.656279999999995</v>
      </c>
      <c r="I28" s="48">
        <v>50.2</v>
      </c>
      <c r="J28" s="39">
        <v>42.3</v>
      </c>
      <c r="K28" s="36">
        <v>64.380972999999997</v>
      </c>
    </row>
    <row r="29" spans="2:11" x14ac:dyDescent="0.25">
      <c r="B29" s="15" t="s">
        <v>20</v>
      </c>
      <c r="C29" s="37">
        <v>15.1</v>
      </c>
      <c r="D29" s="37">
        <v>14.6</v>
      </c>
      <c r="E29" s="37">
        <v>25.3</v>
      </c>
      <c r="F29" s="37">
        <f>14636.1/L$9</f>
        <v>14.636100000000001</v>
      </c>
      <c r="G29" s="38">
        <f>61664.3/L$9</f>
        <v>61.664300000000004</v>
      </c>
      <c r="H29" s="47">
        <v>100.74181</v>
      </c>
      <c r="I29" s="48">
        <v>115.3</v>
      </c>
      <c r="J29" s="39">
        <v>69.7</v>
      </c>
      <c r="K29" s="36">
        <v>48.763159000000002</v>
      </c>
    </row>
    <row r="30" spans="2:11" x14ac:dyDescent="0.25">
      <c r="B30" s="15" t="s">
        <v>21</v>
      </c>
      <c r="C30" s="37">
        <v>1.9</v>
      </c>
      <c r="D30" s="37">
        <v>3.2</v>
      </c>
      <c r="E30" s="37">
        <v>5.3</v>
      </c>
      <c r="F30" s="37">
        <f>12462.9/L$9</f>
        <v>12.462899999999999</v>
      </c>
      <c r="G30" s="38">
        <f>45015.5/L$9</f>
        <v>45.015500000000003</v>
      </c>
      <c r="H30" s="47">
        <v>48.91207</v>
      </c>
      <c r="I30" s="48">
        <v>8.5</v>
      </c>
      <c r="J30" s="39">
        <v>11.4</v>
      </c>
      <c r="K30" s="36">
        <v>9.6800219999999992</v>
      </c>
    </row>
    <row r="31" spans="2:11" x14ac:dyDescent="0.25">
      <c r="B31" s="15" t="s">
        <v>22</v>
      </c>
      <c r="C31" s="37">
        <v>48.1</v>
      </c>
      <c r="D31" s="37">
        <v>45.5</v>
      </c>
      <c r="E31" s="37">
        <v>42</v>
      </c>
      <c r="F31" s="37">
        <f>30815.3/L$9</f>
        <v>30.815300000000001</v>
      </c>
      <c r="G31" s="38">
        <f>36303.7/L$9</f>
        <v>36.303699999999999</v>
      </c>
      <c r="H31" s="47">
        <v>513.60279000000003</v>
      </c>
      <c r="I31" s="48">
        <v>58.1</v>
      </c>
      <c r="J31" s="39">
        <v>42.3</v>
      </c>
      <c r="K31" s="36">
        <v>40.111448000000003</v>
      </c>
    </row>
    <row r="32" spans="2:11" x14ac:dyDescent="0.25">
      <c r="B32" s="15" t="s">
        <v>77</v>
      </c>
      <c r="C32" s="37">
        <v>23.2</v>
      </c>
      <c r="D32" s="37">
        <v>503.5</v>
      </c>
      <c r="E32" s="37">
        <v>21.6</v>
      </c>
      <c r="F32" s="37">
        <f>25809.8/L$9</f>
        <v>25.809799999999999</v>
      </c>
      <c r="G32" s="38">
        <f>28192.6/L$9</f>
        <v>28.192599999999999</v>
      </c>
      <c r="H32" s="47">
        <v>25.849990000000002</v>
      </c>
      <c r="I32" s="48">
        <v>34.299999999999997</v>
      </c>
      <c r="J32" s="39">
        <v>27.8</v>
      </c>
      <c r="K32" s="36">
        <v>29.680016999999999</v>
      </c>
    </row>
    <row r="33" spans="2:14" x14ac:dyDescent="0.25">
      <c r="B33" s="15" t="s">
        <v>23</v>
      </c>
      <c r="C33" s="37">
        <v>274.60000000000002</v>
      </c>
      <c r="D33" s="37">
        <v>265</v>
      </c>
      <c r="E33" s="37">
        <v>267.60000000000002</v>
      </c>
      <c r="F33" s="37">
        <f>260403.1/L$9</f>
        <v>260.40309999999999</v>
      </c>
      <c r="G33" s="38">
        <f>1604310.6/L$9</f>
        <v>1604.3106</v>
      </c>
      <c r="H33" s="47">
        <v>281.82428999999996</v>
      </c>
      <c r="I33" s="48">
        <v>171.6</v>
      </c>
      <c r="J33" s="39">
        <v>173.2</v>
      </c>
      <c r="K33" s="36">
        <v>303.65776199999999</v>
      </c>
    </row>
    <row r="34" spans="2:14" x14ac:dyDescent="0.25">
      <c r="B34" s="15" t="s">
        <v>24</v>
      </c>
      <c r="C34" s="37">
        <v>373.1</v>
      </c>
      <c r="D34" s="37">
        <v>82.8</v>
      </c>
      <c r="E34" s="37">
        <v>84.5</v>
      </c>
      <c r="F34" s="37">
        <f>844306.6/L$9</f>
        <v>844.3066</v>
      </c>
      <c r="G34" s="38">
        <f>109197.8/L$9</f>
        <v>109.1978</v>
      </c>
      <c r="H34" s="47">
        <v>705.82696999999996</v>
      </c>
      <c r="I34" s="48">
        <v>57.2</v>
      </c>
      <c r="J34" s="39">
        <v>149.1</v>
      </c>
      <c r="K34" s="36">
        <v>837.50277600000004</v>
      </c>
    </row>
    <row r="35" spans="2:14" x14ac:dyDescent="0.25">
      <c r="B35" s="15" t="s">
        <v>25</v>
      </c>
      <c r="C35" s="37">
        <v>61.7</v>
      </c>
      <c r="D35" s="37">
        <v>77</v>
      </c>
      <c r="E35" s="37">
        <v>72.8</v>
      </c>
      <c r="F35" s="37">
        <f>65128.7/L$9</f>
        <v>65.128699999999995</v>
      </c>
      <c r="G35" s="38">
        <f>51952.1/L$9</f>
        <v>51.952100000000002</v>
      </c>
      <c r="H35" s="47">
        <v>3.6970500000000004</v>
      </c>
      <c r="I35" s="48">
        <v>42.7</v>
      </c>
      <c r="J35" s="39">
        <v>51.9</v>
      </c>
      <c r="K35" s="36">
        <v>60.285167000000001</v>
      </c>
    </row>
    <row r="36" spans="2:14" x14ac:dyDescent="0.25">
      <c r="B36" s="15" t="s">
        <v>26</v>
      </c>
      <c r="C36" s="37">
        <v>312.89999999999998</v>
      </c>
      <c r="D36" s="37">
        <v>37.299999999999997</v>
      </c>
      <c r="E36" s="37">
        <v>299.89999999999998</v>
      </c>
      <c r="F36" s="37">
        <f>320386.5/L$9</f>
        <v>320.38650000000001</v>
      </c>
      <c r="G36" s="38">
        <f>290656.7/L$9</f>
        <v>290.6567</v>
      </c>
      <c r="H36" s="47">
        <v>315.02584000000002</v>
      </c>
      <c r="I36" s="48">
        <v>86.8</v>
      </c>
      <c r="J36" s="39">
        <v>3458.4</v>
      </c>
      <c r="K36" s="36">
        <v>153.90311700000001</v>
      </c>
    </row>
    <row r="37" spans="2:14" x14ac:dyDescent="0.25">
      <c r="B37" s="15" t="s">
        <v>27</v>
      </c>
      <c r="C37" s="37">
        <v>9584.1</v>
      </c>
      <c r="D37" s="37">
        <v>4413.6000000000004</v>
      </c>
      <c r="E37" s="37">
        <v>3601.4</v>
      </c>
      <c r="F37" s="37">
        <f>2497229.4/L$9</f>
        <v>2497.2293999999997</v>
      </c>
      <c r="G37" s="38">
        <f>2438016.2/L$9</f>
        <v>2438.0162</v>
      </c>
      <c r="H37" s="47">
        <v>2589.4201200000002</v>
      </c>
      <c r="I37" s="48">
        <v>2214.1</v>
      </c>
      <c r="J37" s="39">
        <v>2858.2</v>
      </c>
      <c r="K37" s="36">
        <v>3020.3199770000001</v>
      </c>
      <c r="N37" s="23"/>
    </row>
    <row r="38" spans="2:14" x14ac:dyDescent="0.25">
      <c r="B38" s="15" t="s">
        <v>28</v>
      </c>
      <c r="C38" s="39">
        <v>0</v>
      </c>
      <c r="D38" s="39">
        <v>0</v>
      </c>
      <c r="E38" s="39">
        <v>0</v>
      </c>
      <c r="F38" s="39">
        <v>0</v>
      </c>
      <c r="G38" s="39">
        <v>0</v>
      </c>
      <c r="H38" s="48">
        <v>0</v>
      </c>
      <c r="I38" s="48">
        <v>0</v>
      </c>
      <c r="J38" s="39">
        <v>0</v>
      </c>
      <c r="K38" s="36">
        <v>0</v>
      </c>
    </row>
    <row r="39" spans="2:14" x14ac:dyDescent="0.25">
      <c r="B39" s="15" t="s">
        <v>78</v>
      </c>
      <c r="C39" s="39">
        <v>0</v>
      </c>
      <c r="D39" s="39">
        <v>0</v>
      </c>
      <c r="E39" s="39">
        <v>0</v>
      </c>
      <c r="F39" s="39">
        <v>0</v>
      </c>
      <c r="G39" s="39">
        <v>0</v>
      </c>
      <c r="H39" s="38">
        <v>9.0639999999999998E-2</v>
      </c>
      <c r="I39" s="39">
        <v>0.1</v>
      </c>
      <c r="J39" s="39">
        <v>0</v>
      </c>
      <c r="K39" s="36">
        <v>5.3000000000000001E-5</v>
      </c>
    </row>
    <row r="40" spans="2:14" x14ac:dyDescent="0.25">
      <c r="B40" s="16"/>
      <c r="C40" s="21"/>
      <c r="D40" s="21"/>
      <c r="E40" s="21"/>
      <c r="F40" s="21"/>
      <c r="G40" s="21"/>
      <c r="H40" s="21"/>
      <c r="I40" s="21"/>
      <c r="J40" s="21"/>
      <c r="K40" s="16"/>
    </row>
    <row r="41" spans="2:14" ht="30.75" customHeight="1" x14ac:dyDescent="0.25">
      <c r="B41" s="65" t="s">
        <v>241</v>
      </c>
      <c r="C41" s="65"/>
      <c r="D41" s="65"/>
      <c r="E41" s="65"/>
      <c r="F41" s="65"/>
      <c r="G41" s="65"/>
      <c r="H41" s="65"/>
      <c r="I41" s="65"/>
      <c r="J41" s="65"/>
      <c r="K41" s="65"/>
    </row>
    <row r="42" spans="2:14" ht="78" customHeight="1" x14ac:dyDescent="0.25">
      <c r="B42" s="68" t="s">
        <v>238</v>
      </c>
      <c r="C42" s="68"/>
      <c r="D42" s="68"/>
      <c r="E42" s="68"/>
      <c r="F42" s="68"/>
      <c r="G42" s="68"/>
      <c r="H42" s="68"/>
      <c r="I42" s="68"/>
      <c r="J42" s="68"/>
      <c r="K42" s="68"/>
    </row>
    <row r="43" spans="2:14" ht="42" customHeight="1" x14ac:dyDescent="0.25">
      <c r="B43" s="68"/>
      <c r="C43" s="68"/>
      <c r="D43" s="68"/>
      <c r="E43" s="68"/>
      <c r="F43" s="68"/>
      <c r="G43" s="68"/>
      <c r="H43" s="68"/>
      <c r="I43" s="68"/>
      <c r="J43" s="68"/>
      <c r="K43" s="68"/>
    </row>
    <row r="44" spans="2:14" ht="60" customHeight="1" x14ac:dyDescent="0.25">
      <c r="B44" s="69" t="s">
        <v>246</v>
      </c>
      <c r="C44" s="69"/>
      <c r="D44" s="69"/>
      <c r="E44" s="69"/>
      <c r="F44" s="69"/>
      <c r="G44" s="69"/>
      <c r="H44" s="69"/>
      <c r="I44" s="69"/>
      <c r="J44" s="69"/>
      <c r="K44" s="69"/>
    </row>
    <row r="45" spans="2:14" x14ac:dyDescent="0.25">
      <c r="B45" s="70" t="s">
        <v>239</v>
      </c>
      <c r="C45" s="70"/>
      <c r="D45" s="70"/>
      <c r="E45" s="33"/>
      <c r="F45" s="33"/>
      <c r="G45" s="33"/>
      <c r="H45" s="33"/>
      <c r="I45" s="33"/>
      <c r="J45" s="33"/>
      <c r="K45" s="33"/>
    </row>
  </sheetData>
  <mergeCells count="7">
    <mergeCell ref="B45:D45"/>
    <mergeCell ref="B9:B10"/>
    <mergeCell ref="B7:K7"/>
    <mergeCell ref="C10:K10"/>
    <mergeCell ref="B41:K41"/>
    <mergeCell ref="B42:K43"/>
    <mergeCell ref="B44:K4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1"/>
  <sheetViews>
    <sheetView workbookViewId="0">
      <selection activeCell="A15" sqref="A15"/>
    </sheetView>
  </sheetViews>
  <sheetFormatPr baseColWidth="10" defaultRowHeight="15" x14ac:dyDescent="0.25"/>
  <cols>
    <col min="5" max="5" width="11.42578125" customWidth="1"/>
    <col min="14" max="14" width="21.28515625" customWidth="1"/>
    <col min="15" max="22" width="13" bestFit="1" customWidth="1"/>
    <col min="23" max="23" width="13" customWidth="1"/>
  </cols>
  <sheetData>
    <row r="1" spans="1:23" x14ac:dyDescent="0.25">
      <c r="A1" s="27" t="s">
        <v>220</v>
      </c>
      <c r="B1" s="27">
        <v>2014</v>
      </c>
      <c r="C1" s="27">
        <v>2015</v>
      </c>
      <c r="D1" s="27">
        <v>2016</v>
      </c>
      <c r="E1" s="27">
        <v>2017</v>
      </c>
      <c r="F1" s="27">
        <v>2018</v>
      </c>
      <c r="G1" s="27">
        <v>2019</v>
      </c>
      <c r="H1" s="27">
        <v>2020</v>
      </c>
      <c r="I1" s="27">
        <v>2021</v>
      </c>
      <c r="J1" s="27">
        <v>2022</v>
      </c>
      <c r="N1" s="25" t="s">
        <v>216</v>
      </c>
      <c r="O1" t="s">
        <v>221</v>
      </c>
      <c r="P1" t="s">
        <v>222</v>
      </c>
      <c r="Q1" t="s">
        <v>223</v>
      </c>
      <c r="R1" t="s">
        <v>224</v>
      </c>
      <c r="S1" t="s">
        <v>225</v>
      </c>
      <c r="T1" t="s">
        <v>226</v>
      </c>
      <c r="U1" t="s">
        <v>227</v>
      </c>
      <c r="V1" t="s">
        <v>228</v>
      </c>
      <c r="W1" t="s">
        <v>229</v>
      </c>
    </row>
    <row r="2" spans="1:23" x14ac:dyDescent="0.25">
      <c r="A2" s="27" t="str">
        <f>+'Consumo energía departamental'!B11</f>
        <v xml:space="preserve">AMAZONAS </v>
      </c>
      <c r="B2" s="27">
        <f>+'Consumo energía departamental'!C11</f>
        <v>0.5</v>
      </c>
      <c r="C2" s="27">
        <f>+'Consumo energía departamental'!D11</f>
        <v>0</v>
      </c>
      <c r="D2" s="27">
        <f>+'Consumo energía departamental'!E11</f>
        <v>0</v>
      </c>
      <c r="E2" s="27">
        <f>+'Consumo energía departamental'!F11</f>
        <v>0.61</v>
      </c>
      <c r="F2" s="27">
        <f>+'Consumo energía departamental'!G11</f>
        <v>0.55386999999999997</v>
      </c>
      <c r="G2" s="27">
        <f>+'Consumo energía departamental'!H11</f>
        <v>0.52915999999999996</v>
      </c>
      <c r="H2" s="27">
        <f>+'Consumo energía departamental'!I11</f>
        <v>0.1</v>
      </c>
      <c r="I2" s="27">
        <f>+'Consumo energía departamental'!J11</f>
        <v>0.4</v>
      </c>
      <c r="J2" s="27">
        <f>+'Consumo energía departamental'!K11</f>
        <v>0.57553500000000002</v>
      </c>
      <c r="N2" s="26" t="s">
        <v>30</v>
      </c>
      <c r="O2">
        <v>0.5</v>
      </c>
      <c r="P2">
        <v>0</v>
      </c>
      <c r="Q2">
        <v>0</v>
      </c>
      <c r="R2">
        <v>0.61</v>
      </c>
      <c r="S2">
        <v>0.55386999999999997</v>
      </c>
      <c r="T2">
        <v>0.52915999999999996</v>
      </c>
      <c r="U2">
        <v>0.1</v>
      </c>
      <c r="V2">
        <v>0.4</v>
      </c>
      <c r="W2">
        <v>0.57553500000000002</v>
      </c>
    </row>
    <row r="3" spans="1:23" x14ac:dyDescent="0.25">
      <c r="A3" s="27" t="str">
        <f>+'Consumo energía departamental'!B12</f>
        <v>ANTIOQUIA</v>
      </c>
      <c r="B3" s="27">
        <f>+'Consumo energía departamental'!C12</f>
        <v>2097.9</v>
      </c>
      <c r="C3" s="27">
        <f>+'Consumo energía departamental'!D12</f>
        <v>2329.6</v>
      </c>
      <c r="D3" s="27">
        <f>+'Consumo energía departamental'!E12</f>
        <v>2009.5</v>
      </c>
      <c r="E3" s="27">
        <f>+'Consumo energía departamental'!F12</f>
        <v>1766.2664</v>
      </c>
      <c r="F3" s="27">
        <f>+'Consumo energía departamental'!G12</f>
        <v>1917.451</v>
      </c>
      <c r="G3" s="27">
        <f>+'Consumo energía departamental'!H12</f>
        <v>1782.3498999999999</v>
      </c>
      <c r="H3" s="27">
        <f>+'Consumo energía departamental'!I12</f>
        <v>2225.5</v>
      </c>
      <c r="I3" s="27">
        <f>+'Consumo energía departamental'!J12</f>
        <v>1809</v>
      </c>
      <c r="J3" s="27">
        <f>+'Consumo energía departamental'!K12</f>
        <v>2168.852797</v>
      </c>
      <c r="N3" s="26" t="s">
        <v>5</v>
      </c>
      <c r="O3">
        <v>2097.9</v>
      </c>
      <c r="P3">
        <v>2329.6</v>
      </c>
      <c r="Q3">
        <v>2009.5</v>
      </c>
      <c r="R3">
        <v>1766.2664</v>
      </c>
      <c r="S3">
        <v>1917.451</v>
      </c>
      <c r="T3">
        <v>1782.3498999999999</v>
      </c>
      <c r="U3">
        <v>2225.5</v>
      </c>
      <c r="V3">
        <v>1809</v>
      </c>
      <c r="W3">
        <v>2168.852797</v>
      </c>
    </row>
    <row r="4" spans="1:23" x14ac:dyDescent="0.25">
      <c r="A4" s="27" t="str">
        <f>+'Consumo energía departamental'!B13</f>
        <v>ARAUCA</v>
      </c>
      <c r="B4" s="27">
        <f>+'Consumo energía departamental'!C13</f>
        <v>0</v>
      </c>
      <c r="C4" s="27">
        <f>+'Consumo energía departamental'!D13</f>
        <v>0.1</v>
      </c>
      <c r="D4" s="27">
        <f>+'Consumo energía departamental'!E13</f>
        <v>0.1</v>
      </c>
      <c r="E4" s="27">
        <f>+'Consumo energía departamental'!F13</f>
        <v>0.13019999999999998</v>
      </c>
      <c r="F4" s="27">
        <f>+'Consumo energía departamental'!G13</f>
        <v>0</v>
      </c>
      <c r="G4" s="27">
        <f>+'Consumo energía departamental'!H13</f>
        <v>0.15480000000000002</v>
      </c>
      <c r="H4" s="27">
        <f>+'Consumo energía departamental'!I13</f>
        <v>0</v>
      </c>
      <c r="I4" s="27">
        <f>+'Consumo energía departamental'!J13</f>
        <v>0.1</v>
      </c>
      <c r="J4" s="27">
        <f>+'Consumo energía departamental'!K13</f>
        <v>4.9436000000000001E-2</v>
      </c>
      <c r="N4" s="26" t="s">
        <v>6</v>
      </c>
      <c r="O4">
        <v>0</v>
      </c>
      <c r="P4">
        <v>0.1</v>
      </c>
      <c r="Q4">
        <v>0.1</v>
      </c>
      <c r="R4">
        <v>0.13019999999999998</v>
      </c>
      <c r="S4">
        <v>0</v>
      </c>
      <c r="T4">
        <v>0.15480000000000002</v>
      </c>
      <c r="U4">
        <v>0</v>
      </c>
      <c r="V4">
        <v>0.1</v>
      </c>
      <c r="W4">
        <v>4.9436000000000001E-2</v>
      </c>
    </row>
    <row r="5" spans="1:23" x14ac:dyDescent="0.25">
      <c r="A5" s="27" t="str">
        <f>+'Consumo energía departamental'!B14</f>
        <v>ATLÁNTICO</v>
      </c>
      <c r="B5" s="27">
        <f>+'Consumo energía departamental'!C14</f>
        <v>633.6</v>
      </c>
      <c r="C5" s="27">
        <f>+'Consumo energía departamental'!D14</f>
        <v>567</v>
      </c>
      <c r="D5" s="27">
        <f>+'Consumo energía departamental'!E14</f>
        <v>764.3</v>
      </c>
      <c r="E5" s="27">
        <f>+'Consumo energía departamental'!F14</f>
        <v>1517.751</v>
      </c>
      <c r="F5" s="27">
        <f>+'Consumo energía departamental'!G14</f>
        <v>1791.3938000000001</v>
      </c>
      <c r="G5" s="27">
        <f>+'Consumo energía departamental'!H14</f>
        <v>689.07940000000008</v>
      </c>
      <c r="H5" s="27">
        <f>+'Consumo energía departamental'!I14</f>
        <v>677</v>
      </c>
      <c r="I5" s="27">
        <f>+'Consumo energía departamental'!J14</f>
        <v>1847.1</v>
      </c>
      <c r="J5" s="27">
        <f>+'Consumo energía departamental'!K14</f>
        <v>953.51875199999995</v>
      </c>
      <c r="N5" s="26" t="s">
        <v>7</v>
      </c>
      <c r="O5">
        <v>633.6</v>
      </c>
      <c r="P5">
        <v>567</v>
      </c>
      <c r="Q5">
        <v>764.3</v>
      </c>
      <c r="R5">
        <v>1517.751</v>
      </c>
      <c r="S5">
        <v>1791.3938000000001</v>
      </c>
      <c r="T5">
        <v>689.07940000000008</v>
      </c>
      <c r="U5">
        <v>677</v>
      </c>
      <c r="V5">
        <v>1847.1</v>
      </c>
      <c r="W5">
        <v>953.51875199999995</v>
      </c>
    </row>
    <row r="6" spans="1:23" x14ac:dyDescent="0.25">
      <c r="A6" s="27" t="str">
        <f>+'Consumo energía departamental'!B15</f>
        <v>BOGOTÁ D,C</v>
      </c>
      <c r="B6" s="27">
        <f>+'Consumo energía departamental'!C15</f>
        <v>2842.3</v>
      </c>
      <c r="C6" s="27">
        <f>+'Consumo energía departamental'!D15</f>
        <v>967.6</v>
      </c>
      <c r="D6" s="27">
        <f>+'Consumo energía departamental'!E15</f>
        <v>1494.6</v>
      </c>
      <c r="E6" s="27">
        <f>+'Consumo energía departamental'!F15</f>
        <v>875.15819999999997</v>
      </c>
      <c r="F6" s="27">
        <f>+'Consumo energía departamental'!G15</f>
        <v>883.66600000000005</v>
      </c>
      <c r="G6" s="27">
        <f>+'Consumo energía departamental'!H15</f>
        <v>950.88193000000001</v>
      </c>
      <c r="H6" s="27">
        <f>+'Consumo energía departamental'!I15</f>
        <v>833.6</v>
      </c>
      <c r="I6" s="27">
        <f>+'Consumo energía departamental'!J15</f>
        <v>839.4</v>
      </c>
      <c r="J6" s="27">
        <f>+'Consumo energía departamental'!K15</f>
        <v>872.08342500000003</v>
      </c>
      <c r="N6" s="26" t="s">
        <v>8</v>
      </c>
      <c r="O6">
        <v>2842.3</v>
      </c>
      <c r="P6">
        <v>967.6</v>
      </c>
      <c r="Q6">
        <v>1494.6</v>
      </c>
      <c r="R6">
        <v>875.15819999999997</v>
      </c>
      <c r="S6">
        <v>883.66600000000005</v>
      </c>
      <c r="T6">
        <v>950.88193000000001</v>
      </c>
      <c r="U6">
        <v>833.6</v>
      </c>
      <c r="V6">
        <v>839.4</v>
      </c>
      <c r="W6">
        <v>872.08342500000003</v>
      </c>
    </row>
    <row r="7" spans="1:23" x14ac:dyDescent="0.25">
      <c r="A7" s="27" t="str">
        <f>+'Consumo energía departamental'!B16</f>
        <v>BOLIVAR</v>
      </c>
      <c r="B7" s="27">
        <f>+'Consumo energía departamental'!C16</f>
        <v>606.1</v>
      </c>
      <c r="C7" s="27">
        <f>+'Consumo energía departamental'!D16</f>
        <v>909.7</v>
      </c>
      <c r="D7" s="27">
        <f>+'Consumo energía departamental'!E16</f>
        <v>754.5</v>
      </c>
      <c r="E7" s="27">
        <f>+'Consumo energía departamental'!F16</f>
        <v>1696.3887999999999</v>
      </c>
      <c r="F7" s="27">
        <f>+'Consumo energía departamental'!G16</f>
        <v>1363.0195000000001</v>
      </c>
      <c r="G7" s="27">
        <f>+'Consumo energía departamental'!H16</f>
        <v>1117.2814799999999</v>
      </c>
      <c r="H7" s="27">
        <f>+'Consumo energía departamental'!I16</f>
        <v>1816.9</v>
      </c>
      <c r="I7" s="27">
        <f>+'Consumo energía departamental'!J16</f>
        <v>1922.7</v>
      </c>
      <c r="J7" s="27">
        <f>+'Consumo energía departamental'!K16</f>
        <v>1240.715183</v>
      </c>
      <c r="N7" s="26" t="s">
        <v>9</v>
      </c>
      <c r="O7">
        <v>606.1</v>
      </c>
      <c r="P7">
        <v>909.7</v>
      </c>
      <c r="Q7">
        <v>754.5</v>
      </c>
      <c r="R7">
        <v>1696.3887999999999</v>
      </c>
      <c r="S7">
        <v>1363.0195000000001</v>
      </c>
      <c r="T7">
        <v>1117.2814799999999</v>
      </c>
      <c r="U7">
        <v>1816.9</v>
      </c>
      <c r="V7">
        <v>1922.7</v>
      </c>
      <c r="W7">
        <v>1240.715183</v>
      </c>
    </row>
    <row r="8" spans="1:23" x14ac:dyDescent="0.25">
      <c r="A8" s="27" t="str">
        <f>+'Consumo energía departamental'!B17</f>
        <v>BOYACÁ</v>
      </c>
      <c r="B8" s="27">
        <f>+'Consumo energía departamental'!C17</f>
        <v>681.5</v>
      </c>
      <c r="C8" s="27">
        <f>+'Consumo energía departamental'!D17</f>
        <v>561</v>
      </c>
      <c r="D8" s="27">
        <f>+'Consumo energía departamental'!E17</f>
        <v>811.5</v>
      </c>
      <c r="E8" s="27">
        <f>+'Consumo energía departamental'!F17</f>
        <v>344.72309999999999</v>
      </c>
      <c r="F8" s="27">
        <f>+'Consumo energía departamental'!G17</f>
        <v>1673.2898</v>
      </c>
      <c r="G8" s="27">
        <f>+'Consumo energía departamental'!H17</f>
        <v>1023.5225600000001</v>
      </c>
      <c r="H8" s="27">
        <f>+'Consumo energía departamental'!I17</f>
        <v>721.6</v>
      </c>
      <c r="I8" s="27">
        <f>+'Consumo energía departamental'!J17</f>
        <v>844.1</v>
      </c>
      <c r="J8" s="27">
        <f>+'Consumo energía departamental'!K17</f>
        <v>937.74216799999999</v>
      </c>
      <c r="N8" s="26" t="s">
        <v>10</v>
      </c>
      <c r="O8">
        <v>681.5</v>
      </c>
      <c r="P8">
        <v>561</v>
      </c>
      <c r="Q8">
        <v>811.5</v>
      </c>
      <c r="R8">
        <v>344.72309999999999</v>
      </c>
      <c r="S8">
        <v>1673.2898</v>
      </c>
      <c r="T8">
        <v>1023.5225600000001</v>
      </c>
      <c r="U8">
        <v>721.6</v>
      </c>
      <c r="V8">
        <v>844.1</v>
      </c>
      <c r="W8">
        <v>937.74216799999999</v>
      </c>
    </row>
    <row r="9" spans="1:23" x14ac:dyDescent="0.25">
      <c r="A9" s="27" t="str">
        <f>+'Consumo energía departamental'!B18</f>
        <v>CALDAS</v>
      </c>
      <c r="B9" s="27">
        <f>+'Consumo energía departamental'!C18</f>
        <v>300.39999999999998</v>
      </c>
      <c r="C9" s="27">
        <f>+'Consumo energía departamental'!D18</f>
        <v>338.7</v>
      </c>
      <c r="D9" s="27">
        <f>+'Consumo energía departamental'!E18</f>
        <v>926.7</v>
      </c>
      <c r="E9" s="27">
        <f>+'Consumo energía departamental'!F18</f>
        <v>353.79329999999999</v>
      </c>
      <c r="F9" s="27">
        <f>+'Consumo energía departamental'!G18</f>
        <v>375.43279999999999</v>
      </c>
      <c r="G9" s="27">
        <f>+'Consumo energía departamental'!H18</f>
        <v>386.86718999999999</v>
      </c>
      <c r="H9" s="27">
        <f>+'Consumo energía departamental'!I18</f>
        <v>1318.6</v>
      </c>
      <c r="I9" s="27">
        <f>+'Consumo energía departamental'!J18</f>
        <v>414.2</v>
      </c>
      <c r="J9" s="27">
        <f>+'Consumo energía departamental'!K18</f>
        <v>447.79056500000002</v>
      </c>
      <c r="N9" s="26" t="s">
        <v>75</v>
      </c>
      <c r="O9">
        <v>300.39999999999998</v>
      </c>
      <c r="P9">
        <v>338.7</v>
      </c>
      <c r="Q9">
        <v>926.7</v>
      </c>
      <c r="R9">
        <v>353.79329999999999</v>
      </c>
      <c r="S9">
        <v>375.43279999999999</v>
      </c>
      <c r="T9">
        <v>386.86718999999999</v>
      </c>
      <c r="U9">
        <v>1318.6</v>
      </c>
      <c r="V9">
        <v>414.2</v>
      </c>
      <c r="W9">
        <v>447.79056500000002</v>
      </c>
    </row>
    <row r="10" spans="1:23" x14ac:dyDescent="0.25">
      <c r="A10" s="27" t="str">
        <f>+'Consumo energía departamental'!B19</f>
        <v>CAQUETÁ</v>
      </c>
      <c r="B10" s="27">
        <f>+'Consumo energía departamental'!C19</f>
        <v>0</v>
      </c>
      <c r="C10" s="27">
        <f>+'Consumo energía departamental'!D19</f>
        <v>0</v>
      </c>
      <c r="D10" s="27">
        <f>+'Consumo energía departamental'!E19</f>
        <v>0</v>
      </c>
      <c r="E10" s="27">
        <f>+'Consumo energía departamental'!F19</f>
        <v>0.87320000000000009</v>
      </c>
      <c r="F10" s="27">
        <f>+'Consumo energía departamental'!G19</f>
        <v>1.6112</v>
      </c>
      <c r="G10" s="27">
        <f>+'Consumo energía departamental'!H19</f>
        <v>2.06731</v>
      </c>
      <c r="H10" s="27">
        <f>+'Consumo energía departamental'!I19</f>
        <v>2.2000000000000002</v>
      </c>
      <c r="I10" s="27">
        <f>+'Consumo energía departamental'!J19</f>
        <v>2.2999999999999998</v>
      </c>
      <c r="J10" s="27">
        <f>+'Consumo energía departamental'!K19</f>
        <v>2.153416</v>
      </c>
      <c r="N10" s="26" t="s">
        <v>11</v>
      </c>
      <c r="O10">
        <v>0</v>
      </c>
      <c r="P10">
        <v>0</v>
      </c>
      <c r="Q10">
        <v>0</v>
      </c>
      <c r="R10">
        <v>0.87320000000000009</v>
      </c>
      <c r="S10">
        <v>1.6112</v>
      </c>
      <c r="T10">
        <v>2.06731</v>
      </c>
      <c r="U10">
        <v>2.2000000000000002</v>
      </c>
      <c r="V10">
        <v>2.2999999999999998</v>
      </c>
      <c r="W10">
        <v>2.153416</v>
      </c>
    </row>
    <row r="11" spans="1:23" x14ac:dyDescent="0.25">
      <c r="A11" s="27" t="str">
        <f>+'Consumo energía departamental'!B20</f>
        <v>CASANARE</v>
      </c>
      <c r="B11" s="27">
        <f>+'Consumo energía departamental'!C20</f>
        <v>6.7</v>
      </c>
      <c r="C11" s="27">
        <f>+'Consumo energía departamental'!D20</f>
        <v>10.1</v>
      </c>
      <c r="D11" s="27">
        <f>+'Consumo energía departamental'!E20</f>
        <v>9.3000000000000007</v>
      </c>
      <c r="E11" s="27">
        <f>+'Consumo energía departamental'!F20</f>
        <v>28.308199999999999</v>
      </c>
      <c r="F11" s="27">
        <f>+'Consumo energía departamental'!G20</f>
        <v>33.922599999999996</v>
      </c>
      <c r="G11" s="27">
        <f>+'Consumo energía departamental'!H20</f>
        <v>246.84795000000003</v>
      </c>
      <c r="H11" s="27">
        <f>+'Consumo energía departamental'!I20</f>
        <v>55.6</v>
      </c>
      <c r="I11" s="27">
        <f>+'Consumo energía departamental'!J20</f>
        <v>45.5</v>
      </c>
      <c r="J11" s="27">
        <f>+'Consumo energía departamental'!K20</f>
        <v>60.072338000000002</v>
      </c>
      <c r="N11" s="26" t="s">
        <v>12</v>
      </c>
      <c r="O11">
        <v>6.7</v>
      </c>
      <c r="P11">
        <v>10.1</v>
      </c>
      <c r="Q11">
        <v>9.3000000000000007</v>
      </c>
      <c r="R11">
        <v>28.308199999999999</v>
      </c>
      <c r="S11">
        <v>33.922599999999996</v>
      </c>
      <c r="T11">
        <v>246.84795000000003</v>
      </c>
      <c r="U11">
        <v>55.6</v>
      </c>
      <c r="V11">
        <v>45.5</v>
      </c>
      <c r="W11">
        <v>60.072338000000002</v>
      </c>
    </row>
    <row r="12" spans="1:23" x14ac:dyDescent="0.25">
      <c r="A12" s="27" t="str">
        <f>+'Consumo energía departamental'!B21</f>
        <v>CAUCA</v>
      </c>
      <c r="B12" s="27">
        <f>+'Consumo energía departamental'!C21</f>
        <v>715.9</v>
      </c>
      <c r="C12" s="27">
        <f>+'Consumo energía departamental'!D21</f>
        <v>829</v>
      </c>
      <c r="D12" s="27">
        <f>+'Consumo energía departamental'!E21</f>
        <v>692.7</v>
      </c>
      <c r="E12" s="27">
        <f>+'Consumo energía departamental'!F21</f>
        <v>571.39069999999992</v>
      </c>
      <c r="F12" s="27">
        <f>+'Consumo energía departamental'!G21</f>
        <v>877.34040000000005</v>
      </c>
      <c r="G12" s="27">
        <f>+'Consumo energía departamental'!H21</f>
        <v>735.09662000000003</v>
      </c>
      <c r="H12" s="27">
        <f>+'Consumo energía departamental'!I21</f>
        <v>672.4</v>
      </c>
      <c r="I12" s="27">
        <f>+'Consumo energía departamental'!J21</f>
        <v>715.6</v>
      </c>
      <c r="J12" s="27">
        <f>+'Consumo energía departamental'!K21</f>
        <v>735.08265600000004</v>
      </c>
      <c r="N12" s="26" t="s">
        <v>13</v>
      </c>
      <c r="O12">
        <v>715.9</v>
      </c>
      <c r="P12">
        <v>829</v>
      </c>
      <c r="Q12">
        <v>692.7</v>
      </c>
      <c r="R12">
        <v>571.39069999999992</v>
      </c>
      <c r="S12">
        <v>877.34040000000005</v>
      </c>
      <c r="T12">
        <v>735.09662000000003</v>
      </c>
      <c r="U12">
        <v>672.4</v>
      </c>
      <c r="V12">
        <v>715.6</v>
      </c>
      <c r="W12">
        <v>735.08265600000004</v>
      </c>
    </row>
    <row r="13" spans="1:23" x14ac:dyDescent="0.25">
      <c r="A13" s="27" t="str">
        <f>+'Consumo energía departamental'!B22</f>
        <v>CESAR</v>
      </c>
      <c r="B13" s="27">
        <f>+'Consumo energía departamental'!C22</f>
        <v>33.200000000000003</v>
      </c>
      <c r="C13" s="27">
        <f>+'Consumo energía departamental'!D22</f>
        <v>18.5</v>
      </c>
      <c r="D13" s="27">
        <f>+'Consumo energía departamental'!E22</f>
        <v>17.899999999999999</v>
      </c>
      <c r="E13" s="27">
        <f>+'Consumo energía departamental'!F22</f>
        <v>37.704000000000001</v>
      </c>
      <c r="F13" s="27">
        <f>+'Consumo energía departamental'!G22</f>
        <v>34.727199999999996</v>
      </c>
      <c r="G13" s="27">
        <f>+'Consumo energía departamental'!H22</f>
        <v>11.42451</v>
      </c>
      <c r="H13" s="27">
        <f>+'Consumo energía departamental'!I22</f>
        <v>43.8</v>
      </c>
      <c r="I13" s="27">
        <f>+'Consumo energía departamental'!J22</f>
        <v>38.299999999999997</v>
      </c>
      <c r="J13" s="27">
        <f>+'Consumo energía departamental'!K22</f>
        <v>44.936357000000001</v>
      </c>
      <c r="N13" s="26" t="s">
        <v>14</v>
      </c>
      <c r="O13">
        <v>33.200000000000003</v>
      </c>
      <c r="P13">
        <v>18.5</v>
      </c>
      <c r="Q13">
        <v>17.899999999999999</v>
      </c>
      <c r="R13">
        <v>37.704000000000001</v>
      </c>
      <c r="S13">
        <v>34.727199999999996</v>
      </c>
      <c r="T13">
        <v>11.42451</v>
      </c>
      <c r="U13">
        <v>43.8</v>
      </c>
      <c r="V13">
        <v>38.299999999999997</v>
      </c>
      <c r="W13">
        <v>44.936357000000001</v>
      </c>
    </row>
    <row r="14" spans="1:23" x14ac:dyDescent="0.25">
      <c r="A14" s="27" t="str">
        <f>+'Consumo energía departamental'!B23</f>
        <v>CORDOBA</v>
      </c>
      <c r="B14" s="27">
        <f>+'Consumo energía departamental'!C23</f>
        <v>17.7</v>
      </c>
      <c r="C14" s="27">
        <f>+'Consumo energía departamental'!D23</f>
        <v>22.6</v>
      </c>
      <c r="D14" s="27">
        <f>+'Consumo energía departamental'!E23</f>
        <v>13.8</v>
      </c>
      <c r="E14" s="27">
        <f>+'Consumo energía departamental'!F23</f>
        <v>24.927700000000002</v>
      </c>
      <c r="F14" s="27">
        <f>+'Consumo energía departamental'!G23</f>
        <v>29.643099999999997</v>
      </c>
      <c r="G14" s="27">
        <f>+'Consumo energía departamental'!H23</f>
        <v>27.018330000000002</v>
      </c>
      <c r="H14" s="27">
        <f>+'Consumo energía departamental'!I23</f>
        <v>36.9</v>
      </c>
      <c r="I14" s="27">
        <f>+'Consumo energía departamental'!J23</f>
        <v>26.1</v>
      </c>
      <c r="J14" s="27">
        <f>+'Consumo energía departamental'!K23</f>
        <v>0</v>
      </c>
      <c r="N14" s="26" t="s">
        <v>15</v>
      </c>
      <c r="O14">
        <v>17.7</v>
      </c>
      <c r="P14">
        <v>22.6</v>
      </c>
      <c r="Q14">
        <v>13.8</v>
      </c>
      <c r="R14">
        <v>24.927700000000002</v>
      </c>
      <c r="S14">
        <v>29.643099999999997</v>
      </c>
      <c r="T14">
        <v>27.018330000000002</v>
      </c>
      <c r="U14">
        <v>36.9</v>
      </c>
      <c r="V14">
        <v>26.1</v>
      </c>
      <c r="W14">
        <v>0</v>
      </c>
    </row>
    <row r="15" spans="1:23" x14ac:dyDescent="0.25">
      <c r="A15" s="27" t="str">
        <f>+'Consumo energía departamental'!B24</f>
        <v>CUNDINAMARCA</v>
      </c>
      <c r="B15" s="27">
        <f>+'Consumo energía departamental'!C24</f>
        <v>3883.6</v>
      </c>
      <c r="C15" s="27">
        <f>+'Consumo energía departamental'!D24</f>
        <v>1742.3</v>
      </c>
      <c r="D15" s="27">
        <f>+'Consumo energía departamental'!E24</f>
        <v>1469.4</v>
      </c>
      <c r="E15" s="27">
        <f>+'Consumo energía departamental'!F24</f>
        <v>1515.5303999999999</v>
      </c>
      <c r="F15" s="27">
        <f>+'Consumo energía departamental'!G24</f>
        <v>1482.8205</v>
      </c>
      <c r="G15" s="27">
        <f>+'Consumo energía departamental'!H24</f>
        <v>1505.40255</v>
      </c>
      <c r="H15" s="27">
        <f>+'Consumo energía departamental'!I24</f>
        <v>1798.3</v>
      </c>
      <c r="I15" s="27">
        <f>+'Consumo energía departamental'!J24</f>
        <v>1982.2</v>
      </c>
      <c r="J15" s="27">
        <f>+'Consumo energía departamental'!K24</f>
        <v>2195.3362229999998</v>
      </c>
      <c r="N15" s="26" t="s">
        <v>16</v>
      </c>
      <c r="O15">
        <v>3883.6</v>
      </c>
      <c r="P15">
        <v>1742.3</v>
      </c>
      <c r="Q15">
        <v>1469.4</v>
      </c>
      <c r="R15">
        <v>1515.5303999999999</v>
      </c>
      <c r="S15">
        <v>1482.8205</v>
      </c>
      <c r="T15">
        <v>1505.40255</v>
      </c>
      <c r="U15">
        <v>1798.3</v>
      </c>
      <c r="V15">
        <v>1982.2</v>
      </c>
      <c r="W15">
        <v>2195.3362229999998</v>
      </c>
    </row>
    <row r="16" spans="1:23" x14ac:dyDescent="0.25">
      <c r="A16" s="27" t="str">
        <f>+'Consumo energía departamental'!B25</f>
        <v>GUAINÍA</v>
      </c>
      <c r="B16" s="27">
        <f>+'Consumo energía departamental'!C25</f>
        <v>0</v>
      </c>
      <c r="C16" s="27">
        <f>+'Consumo energía departamental'!D25</f>
        <v>0</v>
      </c>
      <c r="D16" s="27">
        <f>+'Consumo energía departamental'!E25</f>
        <v>0</v>
      </c>
      <c r="E16" s="27">
        <f>+'Consumo energía departamental'!F25</f>
        <v>0</v>
      </c>
      <c r="F16" s="27">
        <f>+'Consumo energía departamental'!G25</f>
        <v>0</v>
      </c>
      <c r="G16" s="27">
        <f>+'Consumo energía departamental'!H25</f>
        <v>2.0800000000000003E-3</v>
      </c>
      <c r="H16" s="27">
        <f>+'Consumo energía departamental'!I25</f>
        <v>0</v>
      </c>
      <c r="I16" s="27">
        <f>+'Consumo energía departamental'!J25</f>
        <v>5.1000000000000004E-4</v>
      </c>
      <c r="J16" s="27">
        <f>+'Consumo energía departamental'!K25</f>
        <v>41.575760000000002</v>
      </c>
      <c r="N16" s="26" t="s">
        <v>76</v>
      </c>
      <c r="O16">
        <v>0</v>
      </c>
      <c r="P16">
        <v>0</v>
      </c>
      <c r="Q16">
        <v>0</v>
      </c>
      <c r="R16">
        <v>0</v>
      </c>
      <c r="S16">
        <v>0</v>
      </c>
      <c r="T16">
        <v>2.0800000000000003E-3</v>
      </c>
      <c r="U16">
        <v>0</v>
      </c>
      <c r="V16">
        <v>5.1000000000000004E-4</v>
      </c>
      <c r="W16">
        <v>41.575760000000002</v>
      </c>
    </row>
    <row r="17" spans="1:23" x14ac:dyDescent="0.25">
      <c r="A17" s="27" t="str">
        <f>+'Consumo energía departamental'!B26</f>
        <v>HUILA</v>
      </c>
      <c r="B17" s="27">
        <f>+'Consumo energía departamental'!C26</f>
        <v>386</v>
      </c>
      <c r="C17" s="27">
        <f>+'Consumo energía departamental'!D26</f>
        <v>33.700000000000003</v>
      </c>
      <c r="D17" s="27">
        <f>+'Consumo energía departamental'!E26</f>
        <v>31.7</v>
      </c>
      <c r="E17" s="27">
        <f>+'Consumo energía departamental'!F26</f>
        <v>35.626400000000004</v>
      </c>
      <c r="F17" s="27">
        <f>+'Consumo energía departamental'!G26</f>
        <v>20.383299999999998</v>
      </c>
      <c r="G17" s="27">
        <f>+'Consumo energía departamental'!H26</f>
        <v>32.536450000000002</v>
      </c>
      <c r="H17" s="27">
        <f>+'Consumo energía departamental'!I26</f>
        <v>45.9</v>
      </c>
      <c r="I17" s="27">
        <f>+'Consumo energía departamental'!J26</f>
        <v>50.1</v>
      </c>
      <c r="J17" s="27">
        <f>+'Consumo energía departamental'!K26</f>
        <v>56.548462000000001</v>
      </c>
      <c r="N17" s="26" t="s">
        <v>17</v>
      </c>
      <c r="O17">
        <v>386</v>
      </c>
      <c r="P17">
        <v>33.700000000000003</v>
      </c>
      <c r="Q17">
        <v>31.7</v>
      </c>
      <c r="R17">
        <v>35.626400000000004</v>
      </c>
      <c r="S17">
        <v>20.383299999999998</v>
      </c>
      <c r="T17">
        <v>32.536450000000002</v>
      </c>
      <c r="U17">
        <v>45.9</v>
      </c>
      <c r="V17">
        <v>50.1</v>
      </c>
      <c r="W17">
        <v>56.548462000000001</v>
      </c>
    </row>
    <row r="18" spans="1:23" x14ac:dyDescent="0.25">
      <c r="A18" s="27" t="str">
        <f>+'Consumo energía departamental'!B27</f>
        <v>LA GUAJIRA</v>
      </c>
      <c r="B18" s="27">
        <f>+'Consumo energía departamental'!C27</f>
        <v>0.6</v>
      </c>
      <c r="C18" s="27">
        <f>+'Consumo energía departamental'!D27</f>
        <v>0.8</v>
      </c>
      <c r="D18" s="27">
        <f>+'Consumo energía departamental'!E27</f>
        <v>0.8</v>
      </c>
      <c r="E18" s="27">
        <f>+'Consumo energía departamental'!F27</f>
        <v>1.9794</v>
      </c>
      <c r="F18" s="27">
        <f>+'Consumo energía departamental'!G27</f>
        <v>0.68510000000000004</v>
      </c>
      <c r="G18" s="27">
        <f>+'Consumo energía departamental'!H27</f>
        <v>0.88599000000000006</v>
      </c>
      <c r="H18" s="27">
        <f>+'Consumo energía departamental'!I27</f>
        <v>0.4</v>
      </c>
      <c r="I18" s="27">
        <f>+'Consumo energía departamental'!J27</f>
        <v>0.7</v>
      </c>
      <c r="J18" s="27">
        <f>+'Consumo energía departamental'!K27</f>
        <v>1.014912</v>
      </c>
      <c r="N18" s="26" t="s">
        <v>18</v>
      </c>
      <c r="O18">
        <v>0.6</v>
      </c>
      <c r="P18">
        <v>0.8</v>
      </c>
      <c r="Q18">
        <v>0.8</v>
      </c>
      <c r="R18">
        <v>1.9794</v>
      </c>
      <c r="S18">
        <v>0.68510000000000004</v>
      </c>
      <c r="T18">
        <v>0.88599000000000006</v>
      </c>
      <c r="U18">
        <v>0.4</v>
      </c>
      <c r="V18">
        <v>0.7</v>
      </c>
      <c r="W18">
        <v>1.014912</v>
      </c>
    </row>
    <row r="19" spans="1:23" x14ac:dyDescent="0.25">
      <c r="A19" s="27" t="str">
        <f>+'Consumo energía departamental'!B28</f>
        <v>MAGDALENA</v>
      </c>
      <c r="B19" s="27">
        <f>+'Consumo energía departamental'!C28</f>
        <v>37.299999999999997</v>
      </c>
      <c r="C19" s="27">
        <f>+'Consumo energía departamental'!D28</f>
        <v>59.1</v>
      </c>
      <c r="D19" s="27">
        <f>+'Consumo energía departamental'!E28</f>
        <v>59.3</v>
      </c>
      <c r="E19" s="27">
        <f>+'Consumo energía departamental'!F28</f>
        <v>50.4589</v>
      </c>
      <c r="F19" s="27">
        <f>+'Consumo energía departamental'!G28</f>
        <v>57.531999999999996</v>
      </c>
      <c r="G19" s="27">
        <f>+'Consumo energía departamental'!H28</f>
        <v>60.656279999999995</v>
      </c>
      <c r="H19" s="27">
        <f>+'Consumo energía departamental'!I28</f>
        <v>50.2</v>
      </c>
      <c r="I19" s="27">
        <f>+'Consumo energía departamental'!J28</f>
        <v>42.3</v>
      </c>
      <c r="J19" s="27">
        <f>+'Consumo energía departamental'!K28</f>
        <v>64.380972999999997</v>
      </c>
      <c r="N19" s="26" t="s">
        <v>19</v>
      </c>
      <c r="O19">
        <v>37.299999999999997</v>
      </c>
      <c r="P19">
        <v>59.1</v>
      </c>
      <c r="Q19">
        <v>59.3</v>
      </c>
      <c r="R19">
        <v>50.4589</v>
      </c>
      <c r="S19">
        <v>57.531999999999996</v>
      </c>
      <c r="T19">
        <v>60.656279999999995</v>
      </c>
      <c r="U19">
        <v>50.2</v>
      </c>
      <c r="V19">
        <v>42.3</v>
      </c>
      <c r="W19">
        <v>64.380972999999997</v>
      </c>
    </row>
    <row r="20" spans="1:23" x14ac:dyDescent="0.25">
      <c r="A20" s="27" t="str">
        <f>+'Consumo energía departamental'!B29</f>
        <v>META</v>
      </c>
      <c r="B20" s="27">
        <f>+'Consumo energía departamental'!C29</f>
        <v>15.1</v>
      </c>
      <c r="C20" s="27">
        <f>+'Consumo energía departamental'!D29</f>
        <v>14.6</v>
      </c>
      <c r="D20" s="27">
        <f>+'Consumo energía departamental'!E29</f>
        <v>25.3</v>
      </c>
      <c r="E20" s="27">
        <f>+'Consumo energía departamental'!F29</f>
        <v>14.636100000000001</v>
      </c>
      <c r="F20" s="27">
        <f>+'Consumo energía departamental'!G29</f>
        <v>61.664300000000004</v>
      </c>
      <c r="G20" s="27">
        <f>+'Consumo energía departamental'!H29</f>
        <v>100.74181</v>
      </c>
      <c r="H20" s="27">
        <f>+'Consumo energía departamental'!I29</f>
        <v>115.3</v>
      </c>
      <c r="I20" s="27">
        <f>+'Consumo energía departamental'!J29</f>
        <v>69.7</v>
      </c>
      <c r="J20" s="27">
        <f>+'Consumo energía departamental'!K29</f>
        <v>48.763159000000002</v>
      </c>
      <c r="N20" s="26" t="s">
        <v>20</v>
      </c>
      <c r="O20">
        <v>15.1</v>
      </c>
      <c r="P20">
        <v>14.6</v>
      </c>
      <c r="Q20">
        <v>25.3</v>
      </c>
      <c r="R20">
        <v>14.636100000000001</v>
      </c>
      <c r="S20">
        <v>61.664300000000004</v>
      </c>
      <c r="T20">
        <v>100.74181</v>
      </c>
      <c r="U20">
        <v>115.3</v>
      </c>
      <c r="V20">
        <v>69.7</v>
      </c>
      <c r="W20">
        <v>48.763159000000002</v>
      </c>
    </row>
    <row r="21" spans="1:23" x14ac:dyDescent="0.25">
      <c r="A21" s="27" t="str">
        <f>+'Consumo energía departamental'!B30</f>
        <v>NARIÑO</v>
      </c>
      <c r="B21" s="27">
        <f>+'Consumo energía departamental'!C30</f>
        <v>1.9</v>
      </c>
      <c r="C21" s="27">
        <f>+'Consumo energía departamental'!D30</f>
        <v>3.2</v>
      </c>
      <c r="D21" s="27">
        <f>+'Consumo energía departamental'!E30</f>
        <v>5.3</v>
      </c>
      <c r="E21" s="27">
        <f>+'Consumo energía departamental'!F30</f>
        <v>12.462899999999999</v>
      </c>
      <c r="F21" s="27">
        <f>+'Consumo energía departamental'!G30</f>
        <v>45.015500000000003</v>
      </c>
      <c r="G21" s="27">
        <f>+'Consumo energía departamental'!H30</f>
        <v>48.91207</v>
      </c>
      <c r="H21" s="27">
        <f>+'Consumo energía departamental'!I30</f>
        <v>8.5</v>
      </c>
      <c r="I21" s="27">
        <f>+'Consumo energía departamental'!J30</f>
        <v>11.4</v>
      </c>
      <c r="J21" s="27">
        <f>+'Consumo energía departamental'!K30</f>
        <v>9.6800219999999992</v>
      </c>
      <c r="N21" s="26" t="s">
        <v>21</v>
      </c>
      <c r="O21">
        <v>1.9</v>
      </c>
      <c r="P21">
        <v>3.2</v>
      </c>
      <c r="Q21">
        <v>5.3</v>
      </c>
      <c r="R21">
        <v>12.462899999999999</v>
      </c>
      <c r="S21">
        <v>45.015500000000003</v>
      </c>
      <c r="T21">
        <v>48.91207</v>
      </c>
      <c r="U21">
        <v>8.5</v>
      </c>
      <c r="V21">
        <v>11.4</v>
      </c>
      <c r="W21">
        <v>9.6800219999999992</v>
      </c>
    </row>
    <row r="22" spans="1:23" x14ac:dyDescent="0.25">
      <c r="A22" s="27" t="str">
        <f>+'Consumo energía departamental'!B31</f>
        <v>NORTE DE SANTANDER</v>
      </c>
      <c r="B22" s="27">
        <f>+'Consumo energía departamental'!C31</f>
        <v>48.1</v>
      </c>
      <c r="C22" s="27">
        <f>+'Consumo energía departamental'!D31</f>
        <v>45.5</v>
      </c>
      <c r="D22" s="27">
        <f>+'Consumo energía departamental'!E31</f>
        <v>42</v>
      </c>
      <c r="E22" s="27">
        <f>+'Consumo energía departamental'!F31</f>
        <v>30.815300000000001</v>
      </c>
      <c r="F22" s="27">
        <f>+'Consumo energía departamental'!G31</f>
        <v>36.303699999999999</v>
      </c>
      <c r="G22" s="27">
        <f>+'Consumo energía departamental'!H31</f>
        <v>513.60279000000003</v>
      </c>
      <c r="H22" s="27">
        <f>+'Consumo energía departamental'!I31</f>
        <v>58.1</v>
      </c>
      <c r="I22" s="27">
        <f>+'Consumo energía departamental'!J31</f>
        <v>42.3</v>
      </c>
      <c r="J22" s="27">
        <f>+'Consumo energía departamental'!K31</f>
        <v>40.111448000000003</v>
      </c>
      <c r="N22" s="26" t="s">
        <v>22</v>
      </c>
      <c r="O22">
        <v>48.1</v>
      </c>
      <c r="P22">
        <v>45.5</v>
      </c>
      <c r="Q22">
        <v>42</v>
      </c>
      <c r="R22">
        <v>30.815300000000001</v>
      </c>
      <c r="S22">
        <v>36.303699999999999</v>
      </c>
      <c r="T22">
        <v>513.60279000000003</v>
      </c>
      <c r="U22">
        <v>58.1</v>
      </c>
      <c r="V22">
        <v>42.3</v>
      </c>
      <c r="W22">
        <v>40.111448000000003</v>
      </c>
    </row>
    <row r="23" spans="1:23" x14ac:dyDescent="0.25">
      <c r="A23" s="27" t="str">
        <f>+'Consumo energía departamental'!B32</f>
        <v>QUINDÍO</v>
      </c>
      <c r="B23" s="27">
        <f>+'Consumo energía departamental'!C32</f>
        <v>23.2</v>
      </c>
      <c r="C23" s="27">
        <f>+'Consumo energía departamental'!D32</f>
        <v>503.5</v>
      </c>
      <c r="D23" s="27">
        <f>+'Consumo energía departamental'!E32</f>
        <v>21.6</v>
      </c>
      <c r="E23" s="27">
        <f>+'Consumo energía departamental'!F32</f>
        <v>25.809799999999999</v>
      </c>
      <c r="F23" s="27">
        <f>+'Consumo energía departamental'!G32</f>
        <v>28.192599999999999</v>
      </c>
      <c r="G23" s="27">
        <f>+'Consumo energía departamental'!H32</f>
        <v>25.849990000000002</v>
      </c>
      <c r="H23" s="27">
        <f>+'Consumo energía departamental'!I32</f>
        <v>34.299999999999997</v>
      </c>
      <c r="I23" s="27">
        <f>+'Consumo energía departamental'!J32</f>
        <v>27.8</v>
      </c>
      <c r="J23" s="27">
        <f>+'Consumo energía departamental'!K32</f>
        <v>29.680016999999999</v>
      </c>
      <c r="N23" s="26" t="s">
        <v>77</v>
      </c>
      <c r="O23">
        <v>23.2</v>
      </c>
      <c r="P23">
        <v>503.5</v>
      </c>
      <c r="Q23">
        <v>21.6</v>
      </c>
      <c r="R23">
        <v>25.809799999999999</v>
      </c>
      <c r="S23">
        <v>28.192599999999999</v>
      </c>
      <c r="T23">
        <v>25.849990000000002</v>
      </c>
      <c r="U23">
        <v>34.299999999999997</v>
      </c>
      <c r="V23">
        <v>27.8</v>
      </c>
      <c r="W23">
        <v>29.680016999999999</v>
      </c>
    </row>
    <row r="24" spans="1:23" x14ac:dyDescent="0.25">
      <c r="A24" s="27" t="str">
        <f>+'Consumo energía departamental'!B33</f>
        <v>RISARALDA</v>
      </c>
      <c r="B24" s="27">
        <f>+'Consumo energía departamental'!C33</f>
        <v>274.60000000000002</v>
      </c>
      <c r="C24" s="27">
        <f>+'Consumo energía departamental'!D33</f>
        <v>265</v>
      </c>
      <c r="D24" s="27">
        <f>+'Consumo energía departamental'!E33</f>
        <v>267.60000000000002</v>
      </c>
      <c r="E24" s="27">
        <f>+'Consumo energía departamental'!F33</f>
        <v>260.40309999999999</v>
      </c>
      <c r="F24" s="27">
        <f>+'Consumo energía departamental'!G33</f>
        <v>1604.3106</v>
      </c>
      <c r="G24" s="27">
        <f>+'Consumo energía departamental'!H33</f>
        <v>281.82428999999996</v>
      </c>
      <c r="H24" s="27">
        <f>+'Consumo energía departamental'!I33</f>
        <v>171.6</v>
      </c>
      <c r="I24" s="27">
        <f>+'Consumo energía departamental'!J33</f>
        <v>173.2</v>
      </c>
      <c r="J24" s="27">
        <f>+'Consumo energía departamental'!K33</f>
        <v>303.65776199999999</v>
      </c>
      <c r="N24" s="26" t="s">
        <v>23</v>
      </c>
      <c r="O24">
        <v>274.60000000000002</v>
      </c>
      <c r="P24">
        <v>265</v>
      </c>
      <c r="Q24">
        <v>267.60000000000002</v>
      </c>
      <c r="R24">
        <v>260.40309999999999</v>
      </c>
      <c r="S24">
        <v>1604.3106</v>
      </c>
      <c r="T24">
        <v>281.82428999999996</v>
      </c>
      <c r="U24">
        <v>171.6</v>
      </c>
      <c r="V24">
        <v>173.2</v>
      </c>
      <c r="W24">
        <v>303.65776199999999</v>
      </c>
    </row>
    <row r="25" spans="1:23" x14ac:dyDescent="0.25">
      <c r="A25" s="27" t="str">
        <f>+'Consumo energía departamental'!B34</f>
        <v>SANTANDER</v>
      </c>
      <c r="B25" s="27">
        <f>+'Consumo energía departamental'!C34</f>
        <v>373.1</v>
      </c>
      <c r="C25" s="27">
        <f>+'Consumo energía departamental'!D34</f>
        <v>82.8</v>
      </c>
      <c r="D25" s="27">
        <f>+'Consumo energía departamental'!E34</f>
        <v>84.5</v>
      </c>
      <c r="E25" s="27">
        <f>+'Consumo energía departamental'!F34</f>
        <v>844.3066</v>
      </c>
      <c r="F25" s="27">
        <f>+'Consumo energía departamental'!G34</f>
        <v>109.1978</v>
      </c>
      <c r="G25" s="27">
        <f>+'Consumo energía departamental'!H34</f>
        <v>705.82696999999996</v>
      </c>
      <c r="H25" s="27">
        <f>+'Consumo energía departamental'!I34</f>
        <v>57.2</v>
      </c>
      <c r="I25" s="27">
        <f>+'Consumo energía departamental'!J34</f>
        <v>149.1</v>
      </c>
      <c r="J25" s="27">
        <f>+'Consumo energía departamental'!K34</f>
        <v>837.50277600000004</v>
      </c>
      <c r="N25" s="26" t="s">
        <v>24</v>
      </c>
      <c r="O25">
        <v>373.1</v>
      </c>
      <c r="P25">
        <v>82.8</v>
      </c>
      <c r="Q25">
        <v>84.5</v>
      </c>
      <c r="R25">
        <v>844.3066</v>
      </c>
      <c r="S25">
        <v>109.1978</v>
      </c>
      <c r="T25">
        <v>705.82696999999996</v>
      </c>
      <c r="U25">
        <v>57.2</v>
      </c>
      <c r="V25">
        <v>149.1</v>
      </c>
      <c r="W25">
        <v>837.50277600000004</v>
      </c>
    </row>
    <row r="26" spans="1:23" x14ac:dyDescent="0.25">
      <c r="A26" s="27" t="str">
        <f>+'Consumo energía departamental'!B35</f>
        <v>SUCRE</v>
      </c>
      <c r="B26" s="27">
        <f>+'Consumo energía departamental'!C35</f>
        <v>61.7</v>
      </c>
      <c r="C26" s="27">
        <f>+'Consumo energía departamental'!D35</f>
        <v>77</v>
      </c>
      <c r="D26" s="27">
        <f>+'Consumo energía departamental'!E35</f>
        <v>72.8</v>
      </c>
      <c r="E26" s="27">
        <f>+'Consumo energía departamental'!F35</f>
        <v>65.128699999999995</v>
      </c>
      <c r="F26" s="27">
        <f>+'Consumo energía departamental'!G35</f>
        <v>51.952100000000002</v>
      </c>
      <c r="G26" s="27">
        <f>+'Consumo energía departamental'!H35</f>
        <v>3.6970500000000004</v>
      </c>
      <c r="H26" s="27">
        <f>+'Consumo energía departamental'!I35</f>
        <v>42.7</v>
      </c>
      <c r="I26" s="27">
        <f>+'Consumo energía departamental'!J35</f>
        <v>51.9</v>
      </c>
      <c r="J26" s="27">
        <f>+'Consumo energía departamental'!K35</f>
        <v>60.285167000000001</v>
      </c>
      <c r="N26" s="26" t="s">
        <v>25</v>
      </c>
      <c r="O26">
        <v>61.7</v>
      </c>
      <c r="P26">
        <v>77</v>
      </c>
      <c r="Q26">
        <v>72.8</v>
      </c>
      <c r="R26">
        <v>65.128699999999995</v>
      </c>
      <c r="S26">
        <v>51.952100000000002</v>
      </c>
      <c r="T26">
        <v>3.6970500000000004</v>
      </c>
      <c r="U26">
        <v>42.7</v>
      </c>
      <c r="V26">
        <v>51.9</v>
      </c>
      <c r="W26">
        <v>60.285167000000001</v>
      </c>
    </row>
    <row r="27" spans="1:23" x14ac:dyDescent="0.25">
      <c r="A27" s="27" t="str">
        <f>+'Consumo energía departamental'!B36</f>
        <v>TOLIMA</v>
      </c>
      <c r="B27" s="27">
        <f>+'Consumo energía departamental'!C36</f>
        <v>312.89999999999998</v>
      </c>
      <c r="C27" s="27">
        <f>+'Consumo energía departamental'!D36</f>
        <v>37.299999999999997</v>
      </c>
      <c r="D27" s="27">
        <f>+'Consumo energía departamental'!E36</f>
        <v>299.89999999999998</v>
      </c>
      <c r="E27" s="27">
        <f>+'Consumo energía departamental'!F36</f>
        <v>320.38650000000001</v>
      </c>
      <c r="F27" s="27">
        <f>+'Consumo energía departamental'!G36</f>
        <v>290.6567</v>
      </c>
      <c r="G27" s="27">
        <f>+'Consumo energía departamental'!H36</f>
        <v>315.02584000000002</v>
      </c>
      <c r="H27" s="27">
        <f>+'Consumo energía departamental'!I36</f>
        <v>86.8</v>
      </c>
      <c r="I27" s="27">
        <f>+'Consumo energía departamental'!J36</f>
        <v>3458.4</v>
      </c>
      <c r="J27" s="27">
        <f>+'Consumo energía departamental'!K36</f>
        <v>153.90311700000001</v>
      </c>
      <c r="N27" s="26" t="s">
        <v>26</v>
      </c>
      <c r="O27">
        <v>312.89999999999998</v>
      </c>
      <c r="P27">
        <v>37.299999999999997</v>
      </c>
      <c r="Q27">
        <v>299.89999999999998</v>
      </c>
      <c r="R27">
        <v>320.38650000000001</v>
      </c>
      <c r="S27">
        <v>290.6567</v>
      </c>
      <c r="T27">
        <v>315.02584000000002</v>
      </c>
      <c r="U27">
        <v>86.8</v>
      </c>
      <c r="V27">
        <v>3458.4</v>
      </c>
      <c r="W27">
        <v>153.90311700000001</v>
      </c>
    </row>
    <row r="28" spans="1:23" x14ac:dyDescent="0.25">
      <c r="A28" s="27" t="str">
        <f>+'Consumo energía departamental'!B37</f>
        <v>VALLE DEL CAUCA</v>
      </c>
      <c r="B28" s="27">
        <f>+'Consumo energía departamental'!C37</f>
        <v>9584.1</v>
      </c>
      <c r="C28" s="27">
        <f>+'Consumo energía departamental'!D37</f>
        <v>4413.6000000000004</v>
      </c>
      <c r="D28" s="27">
        <f>+'Consumo energía departamental'!E37</f>
        <v>3601.4</v>
      </c>
      <c r="E28" s="27">
        <f>+'Consumo energía departamental'!F37</f>
        <v>2497.2293999999997</v>
      </c>
      <c r="F28" s="27">
        <f>+'Consumo energía departamental'!G37</f>
        <v>2438.0162</v>
      </c>
      <c r="G28" s="27">
        <f>+'Consumo energía departamental'!H37</f>
        <v>2589.4201200000002</v>
      </c>
      <c r="H28" s="27">
        <f>+'Consumo energía departamental'!I37</f>
        <v>2214.1</v>
      </c>
      <c r="I28" s="27">
        <f>+'Consumo energía departamental'!J37</f>
        <v>2858.2</v>
      </c>
      <c r="J28" s="27">
        <f>+'Consumo energía departamental'!K37</f>
        <v>3020.3199770000001</v>
      </c>
      <c r="N28" s="26" t="s">
        <v>27</v>
      </c>
      <c r="O28">
        <v>9584.1</v>
      </c>
      <c r="P28">
        <v>4413.6000000000004</v>
      </c>
      <c r="Q28">
        <v>3601.4</v>
      </c>
      <c r="R28">
        <v>2497.2293999999997</v>
      </c>
      <c r="S28">
        <v>2438.0162</v>
      </c>
      <c r="T28">
        <v>2589.4201200000002</v>
      </c>
      <c r="U28">
        <v>2214.1</v>
      </c>
      <c r="V28">
        <v>2858.2</v>
      </c>
      <c r="W28">
        <v>3020.3199770000001</v>
      </c>
    </row>
    <row r="29" spans="1:23" x14ac:dyDescent="0.25">
      <c r="A29" s="27" t="str">
        <f>+'Consumo energía departamental'!B38</f>
        <v>VAUPES</v>
      </c>
      <c r="B29" s="27">
        <f>+'Consumo energía departamental'!C38</f>
        <v>0</v>
      </c>
      <c r="C29" s="27">
        <f>+'Consumo energía departamental'!D38</f>
        <v>0</v>
      </c>
      <c r="D29" s="27">
        <f>+'Consumo energía departamental'!E38</f>
        <v>0</v>
      </c>
      <c r="E29" s="27">
        <f>+'Consumo energía departamental'!F38</f>
        <v>0</v>
      </c>
      <c r="F29" s="27">
        <f>+'Consumo energía departamental'!G38</f>
        <v>0</v>
      </c>
      <c r="G29" s="27">
        <f>+'Consumo energía departamental'!H38</f>
        <v>0</v>
      </c>
      <c r="H29" s="27">
        <f>+'Consumo energía departamental'!I38</f>
        <v>0</v>
      </c>
      <c r="I29" s="27">
        <f>+'Consumo energía departamental'!J38</f>
        <v>0</v>
      </c>
      <c r="J29" s="27">
        <f>+'Consumo energía departamental'!K38</f>
        <v>0</v>
      </c>
      <c r="N29" s="26" t="s">
        <v>28</v>
      </c>
      <c r="O29">
        <v>0</v>
      </c>
      <c r="P29">
        <v>0</v>
      </c>
      <c r="Q29">
        <v>0</v>
      </c>
      <c r="R29">
        <v>0</v>
      </c>
      <c r="S29">
        <v>0</v>
      </c>
      <c r="T29">
        <v>0</v>
      </c>
      <c r="U29">
        <v>0</v>
      </c>
      <c r="V29">
        <v>0</v>
      </c>
      <c r="W29">
        <v>0</v>
      </c>
    </row>
    <row r="30" spans="1:23" x14ac:dyDescent="0.25">
      <c r="A30" s="27" t="str">
        <f>+'Consumo energía departamental'!B39</f>
        <v>VICHADA</v>
      </c>
      <c r="B30" s="27">
        <f>+'Consumo energía departamental'!C39</f>
        <v>0</v>
      </c>
      <c r="C30" s="27">
        <f>+'Consumo energía departamental'!D39</f>
        <v>0</v>
      </c>
      <c r="D30" s="27">
        <f>+'Consumo energía departamental'!E39</f>
        <v>0</v>
      </c>
      <c r="E30" s="27">
        <f>+'Consumo energía departamental'!F39</f>
        <v>0</v>
      </c>
      <c r="F30" s="27">
        <f>+'Consumo energía departamental'!G39</f>
        <v>0</v>
      </c>
      <c r="G30" s="27">
        <f>+'Consumo energía departamental'!H39</f>
        <v>9.0639999999999998E-2</v>
      </c>
      <c r="H30" s="27">
        <f>+'Consumo energía departamental'!I39</f>
        <v>0.1</v>
      </c>
      <c r="I30" s="27">
        <f>+'Consumo energía departamental'!J39</f>
        <v>0</v>
      </c>
      <c r="J30" s="27">
        <f>+'Consumo energía departamental'!K39</f>
        <v>5.3000000000000001E-5</v>
      </c>
      <c r="N30" s="26" t="s">
        <v>78</v>
      </c>
      <c r="O30">
        <v>0</v>
      </c>
      <c r="P30">
        <v>0</v>
      </c>
      <c r="Q30">
        <v>0</v>
      </c>
      <c r="R30">
        <v>0</v>
      </c>
      <c r="S30">
        <v>0</v>
      </c>
      <c r="T30">
        <v>9.0639999999999998E-2</v>
      </c>
      <c r="U30">
        <v>0.1</v>
      </c>
      <c r="V30">
        <v>0</v>
      </c>
      <c r="W30">
        <v>5.3000000000000001E-5</v>
      </c>
    </row>
    <row r="31" spans="1:23" x14ac:dyDescent="0.25">
      <c r="A31" s="27"/>
      <c r="B31" s="27"/>
      <c r="C31" s="27"/>
      <c r="D31" s="27"/>
      <c r="E31" s="27"/>
      <c r="F31" s="27"/>
      <c r="G31" s="27"/>
      <c r="H31" s="27"/>
      <c r="I31" s="27"/>
      <c r="J31" s="27"/>
      <c r="N31" s="26" t="s">
        <v>217</v>
      </c>
      <c r="O31">
        <v>22938</v>
      </c>
      <c r="P31">
        <v>13832.300000000001</v>
      </c>
      <c r="Q31">
        <v>13476.499999999996</v>
      </c>
      <c r="R31">
        <v>12892.7983</v>
      </c>
      <c r="S31">
        <v>15208.78167</v>
      </c>
      <c r="T31">
        <v>13157.596060000005</v>
      </c>
      <c r="U31">
        <v>13087.7</v>
      </c>
      <c r="V31">
        <v>17422.10051</v>
      </c>
      <c r="W31">
        <v>14326.332456</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N57"/>
  <sheetViews>
    <sheetView showGridLines="0" zoomScale="90" zoomScaleNormal="90" workbookViewId="0"/>
  </sheetViews>
  <sheetFormatPr baseColWidth="10" defaultRowHeight="15" x14ac:dyDescent="0.25"/>
  <cols>
    <col min="1" max="1" width="6.85546875" customWidth="1"/>
    <col min="2" max="2" width="27.42578125" customWidth="1"/>
    <col min="3" max="4" width="11.42578125" customWidth="1"/>
    <col min="14" max="14" width="20.28515625" customWidth="1"/>
  </cols>
  <sheetData>
    <row r="2" spans="2:13" ht="36.75" customHeight="1" x14ac:dyDescent="0.25"/>
    <row r="8" spans="2:13" ht="25.5" customHeight="1" x14ac:dyDescent="0.25">
      <c r="B8" s="74" t="s">
        <v>242</v>
      </c>
      <c r="C8" s="74"/>
      <c r="D8" s="74"/>
      <c r="E8" s="74"/>
      <c r="F8" s="74"/>
      <c r="G8" s="74"/>
      <c r="H8" s="74"/>
      <c r="I8" s="74"/>
      <c r="J8" s="74"/>
      <c r="K8" s="74"/>
    </row>
    <row r="10" spans="2:13" ht="22.5" customHeight="1" x14ac:dyDescent="0.25">
      <c r="B10" s="75" t="s">
        <v>254</v>
      </c>
      <c r="C10" s="50">
        <v>2014</v>
      </c>
      <c r="D10" s="50">
        <v>2015</v>
      </c>
      <c r="E10" s="50">
        <v>2016</v>
      </c>
      <c r="F10" s="50">
        <v>2017</v>
      </c>
      <c r="G10" s="50">
        <v>2018</v>
      </c>
      <c r="H10" s="50">
        <v>2019</v>
      </c>
      <c r="I10" s="50">
        <v>2020</v>
      </c>
      <c r="J10" s="50">
        <v>2021</v>
      </c>
      <c r="K10" s="50">
        <v>2022</v>
      </c>
    </row>
    <row r="11" spans="2:13" ht="22.5" customHeight="1" x14ac:dyDescent="0.25">
      <c r="B11" s="76"/>
      <c r="C11" s="73" t="s">
        <v>74</v>
      </c>
      <c r="D11" s="73"/>
      <c r="E11" s="73"/>
      <c r="F11" s="73"/>
      <c r="G11" s="73"/>
      <c r="H11" s="73"/>
      <c r="I11" s="73"/>
      <c r="J11" s="73"/>
      <c r="K11" s="73"/>
    </row>
    <row r="12" spans="2:13" x14ac:dyDescent="0.25">
      <c r="B12" s="17" t="s">
        <v>31</v>
      </c>
      <c r="C12" s="34">
        <v>0</v>
      </c>
      <c r="D12" s="34">
        <v>0.2</v>
      </c>
      <c r="E12" s="59">
        <v>0.2</v>
      </c>
      <c r="F12" s="59">
        <v>0.8</v>
      </c>
      <c r="G12" s="34">
        <v>0.5</v>
      </c>
      <c r="H12" s="59">
        <v>0.5</v>
      </c>
      <c r="I12" s="34">
        <v>1.5</v>
      </c>
      <c r="J12" s="34">
        <v>0</v>
      </c>
      <c r="K12" s="34">
        <v>0</v>
      </c>
      <c r="M12" s="23"/>
    </row>
    <row r="13" spans="2:13" x14ac:dyDescent="0.25">
      <c r="B13" s="17" t="s">
        <v>32</v>
      </c>
      <c r="C13" s="37">
        <v>1400.3</v>
      </c>
      <c r="D13" s="37">
        <v>1330.4</v>
      </c>
      <c r="E13" s="60">
        <v>1170.8</v>
      </c>
      <c r="F13" s="60">
        <v>1442.1</v>
      </c>
      <c r="G13" s="37">
        <v>1854.5</v>
      </c>
      <c r="H13" s="60">
        <v>1085.9000000000001</v>
      </c>
      <c r="I13" s="37">
        <v>1682.6</v>
      </c>
      <c r="J13" s="37">
        <v>1125.0999999999999</v>
      </c>
      <c r="K13" s="34">
        <v>1314.8044520000001</v>
      </c>
    </row>
    <row r="14" spans="2:13" x14ac:dyDescent="0.25">
      <c r="B14" s="17" t="s">
        <v>33</v>
      </c>
      <c r="C14" s="37">
        <v>0</v>
      </c>
      <c r="D14" s="37">
        <v>0</v>
      </c>
      <c r="E14" s="60">
        <v>0</v>
      </c>
      <c r="F14" s="60">
        <v>1512.6</v>
      </c>
      <c r="G14" s="37">
        <v>35.5</v>
      </c>
      <c r="H14" s="60">
        <v>714.2</v>
      </c>
      <c r="I14" s="37">
        <v>729.1</v>
      </c>
      <c r="J14" s="37">
        <v>757.7</v>
      </c>
      <c r="K14" s="34">
        <v>46.470516000000003</v>
      </c>
    </row>
    <row r="15" spans="2:13" x14ac:dyDescent="0.25">
      <c r="B15" s="17" t="s">
        <v>34</v>
      </c>
      <c r="C15" s="37">
        <v>386</v>
      </c>
      <c r="D15" s="37">
        <v>33.700000000000003</v>
      </c>
      <c r="E15" s="60">
        <v>31.7</v>
      </c>
      <c r="F15" s="60">
        <v>35.6</v>
      </c>
      <c r="G15" s="37">
        <v>20.399999999999999</v>
      </c>
      <c r="H15" s="60">
        <v>32.5</v>
      </c>
      <c r="I15" s="37">
        <v>45.9</v>
      </c>
      <c r="J15" s="37">
        <v>50.1</v>
      </c>
      <c r="K15" s="34">
        <v>56.548462000000001</v>
      </c>
    </row>
    <row r="16" spans="2:13" x14ac:dyDescent="0.25">
      <c r="B16" s="17" t="s">
        <v>35</v>
      </c>
      <c r="C16" s="37">
        <v>3905</v>
      </c>
      <c r="D16" s="37">
        <v>1764.5</v>
      </c>
      <c r="E16" s="60">
        <v>1486.2</v>
      </c>
      <c r="F16" s="60">
        <v>1567.5</v>
      </c>
      <c r="G16" s="37">
        <v>1730.6</v>
      </c>
      <c r="H16" s="60">
        <v>1522.8</v>
      </c>
      <c r="I16" s="37">
        <v>1853</v>
      </c>
      <c r="J16" s="37">
        <v>2007.2</v>
      </c>
      <c r="K16" s="34">
        <v>2224.8628950000002</v>
      </c>
    </row>
    <row r="17" spans="2:14" x14ac:dyDescent="0.25">
      <c r="B17" s="17" t="s">
        <v>36</v>
      </c>
      <c r="C17" s="37">
        <v>274.60000000000002</v>
      </c>
      <c r="D17" s="37">
        <v>265</v>
      </c>
      <c r="E17" s="60">
        <v>267.60000000000002</v>
      </c>
      <c r="F17" s="60">
        <v>260.39999999999998</v>
      </c>
      <c r="G17" s="37">
        <v>604.29999999999995</v>
      </c>
      <c r="H17" s="60">
        <v>281.8</v>
      </c>
      <c r="I17" s="37">
        <v>171.6</v>
      </c>
      <c r="J17" s="37">
        <v>173.2</v>
      </c>
      <c r="K17" s="34">
        <v>303.65776199999999</v>
      </c>
    </row>
    <row r="18" spans="2:14" x14ac:dyDescent="0.25">
      <c r="B18" s="17" t="s">
        <v>37</v>
      </c>
      <c r="C18" s="37">
        <v>8.8000000000000007</v>
      </c>
      <c r="D18" s="37">
        <v>25</v>
      </c>
      <c r="E18" s="60">
        <v>24.2</v>
      </c>
      <c r="F18" s="60">
        <v>43.3</v>
      </c>
      <c r="G18" s="37">
        <v>32.200000000000003</v>
      </c>
      <c r="H18" s="60">
        <v>61.4</v>
      </c>
      <c r="I18" s="37">
        <v>35.1</v>
      </c>
      <c r="J18" s="37">
        <v>40.4</v>
      </c>
      <c r="K18" s="34">
        <v>48.132112999999997</v>
      </c>
      <c r="N18" t="s">
        <v>215</v>
      </c>
    </row>
    <row r="19" spans="2:14" x14ac:dyDescent="0.25">
      <c r="B19" s="17" t="s">
        <v>38</v>
      </c>
      <c r="C19" s="37">
        <v>61.7</v>
      </c>
      <c r="D19" s="37">
        <v>77</v>
      </c>
      <c r="E19" s="60">
        <v>72.8</v>
      </c>
      <c r="F19" s="60">
        <v>65.099999999999994</v>
      </c>
      <c r="G19" s="37">
        <v>52</v>
      </c>
      <c r="H19" s="60">
        <v>3.7</v>
      </c>
      <c r="I19" s="37">
        <v>42.7</v>
      </c>
      <c r="J19" s="37">
        <v>51.9</v>
      </c>
      <c r="K19" s="34">
        <v>60.285167000000001</v>
      </c>
    </row>
    <row r="20" spans="2:14" x14ac:dyDescent="0.25">
      <c r="B20" s="17" t="s">
        <v>39</v>
      </c>
      <c r="C20" s="37">
        <v>25.4</v>
      </c>
      <c r="D20" s="37">
        <v>9.5</v>
      </c>
      <c r="E20" s="60">
        <v>1.3</v>
      </c>
      <c r="F20" s="60">
        <v>12.5</v>
      </c>
      <c r="G20" s="37">
        <v>15.7</v>
      </c>
      <c r="H20" s="60">
        <v>11.2</v>
      </c>
      <c r="I20" s="37">
        <v>10.9</v>
      </c>
      <c r="J20" s="37">
        <v>23.2</v>
      </c>
      <c r="K20" s="34">
        <v>688.94721300000003</v>
      </c>
    </row>
    <row r="21" spans="2:14" x14ac:dyDescent="0.25">
      <c r="B21" s="17" t="s">
        <v>40</v>
      </c>
      <c r="C21" s="37">
        <v>0</v>
      </c>
      <c r="D21" s="37">
        <v>0</v>
      </c>
      <c r="E21" s="37">
        <v>0</v>
      </c>
      <c r="F21" s="37">
        <v>0</v>
      </c>
      <c r="G21" s="37">
        <v>0</v>
      </c>
      <c r="H21" s="37">
        <v>0</v>
      </c>
      <c r="I21" s="37">
        <v>0</v>
      </c>
      <c r="J21" s="61">
        <v>5.0699999999999996E-4</v>
      </c>
      <c r="K21" s="34">
        <v>0</v>
      </c>
    </row>
    <row r="22" spans="2:14" x14ac:dyDescent="0.25">
      <c r="B22" s="17" t="s">
        <v>41</v>
      </c>
      <c r="C22" s="37">
        <v>347.8</v>
      </c>
      <c r="D22" s="37">
        <v>73</v>
      </c>
      <c r="E22" s="37">
        <v>83</v>
      </c>
      <c r="F22" s="60">
        <v>89.7</v>
      </c>
      <c r="G22" s="37">
        <v>962.42</v>
      </c>
      <c r="H22" s="60">
        <v>23.8</v>
      </c>
      <c r="I22" s="37">
        <v>44.9</v>
      </c>
      <c r="J22" s="37">
        <v>125.9</v>
      </c>
      <c r="K22" s="34">
        <v>148.55556300000001</v>
      </c>
      <c r="M22" s="23"/>
    </row>
    <row r="23" spans="2:14" x14ac:dyDescent="0.25">
      <c r="B23" s="17" t="s">
        <v>42</v>
      </c>
      <c r="C23" s="37">
        <v>268.5</v>
      </c>
      <c r="D23" s="37">
        <v>498.6</v>
      </c>
      <c r="E23" s="37">
        <v>152.80000000000001</v>
      </c>
      <c r="F23" s="37">
        <v>307.5</v>
      </c>
      <c r="G23" s="37">
        <v>184</v>
      </c>
      <c r="H23" s="38">
        <v>230.4</v>
      </c>
      <c r="I23" s="38">
        <v>184.5</v>
      </c>
      <c r="J23" s="37">
        <v>242.2</v>
      </c>
      <c r="K23" s="34">
        <v>252.93688700000001</v>
      </c>
    </row>
    <row r="24" spans="2:14" x14ac:dyDescent="0.25">
      <c r="B24" s="17" t="s">
        <v>43</v>
      </c>
      <c r="C24" s="37">
        <v>15.1</v>
      </c>
      <c r="D24" s="37">
        <v>14.6</v>
      </c>
      <c r="E24" s="37">
        <v>25.3</v>
      </c>
      <c r="F24" s="37">
        <v>21.6</v>
      </c>
      <c r="G24" s="37">
        <v>61.7</v>
      </c>
      <c r="H24" s="38">
        <v>100.7</v>
      </c>
      <c r="I24" s="38">
        <v>115.3</v>
      </c>
      <c r="J24" s="37">
        <v>69.7</v>
      </c>
      <c r="K24" s="34">
        <v>48.763159000000002</v>
      </c>
    </row>
    <row r="25" spans="2:14" x14ac:dyDescent="0.25">
      <c r="B25" s="17" t="s">
        <v>44</v>
      </c>
      <c r="C25" s="37">
        <v>420.1</v>
      </c>
      <c r="D25" s="37">
        <v>487.9</v>
      </c>
      <c r="E25" s="37">
        <v>393</v>
      </c>
      <c r="F25" s="37">
        <v>250.8</v>
      </c>
      <c r="G25" s="37">
        <v>164.6</v>
      </c>
      <c r="H25" s="38">
        <v>452.6</v>
      </c>
      <c r="I25" s="38">
        <v>345.1</v>
      </c>
      <c r="J25" s="37">
        <v>426.6</v>
      </c>
      <c r="K25" s="34">
        <v>581.77805799999999</v>
      </c>
    </row>
    <row r="26" spans="2:14" x14ac:dyDescent="0.25">
      <c r="B26" s="17" t="s">
        <v>45</v>
      </c>
      <c r="C26" s="37">
        <v>14.7</v>
      </c>
      <c r="D26" s="37">
        <v>24.3</v>
      </c>
      <c r="E26" s="37">
        <v>23.2</v>
      </c>
      <c r="F26" s="37">
        <v>13</v>
      </c>
      <c r="G26" s="37">
        <v>20.100000000000001</v>
      </c>
      <c r="H26" s="38">
        <v>50.2</v>
      </c>
      <c r="I26" s="38">
        <v>39.200000000000003</v>
      </c>
      <c r="J26" s="37">
        <v>31.7</v>
      </c>
      <c r="K26" s="34">
        <v>51.60219</v>
      </c>
    </row>
    <row r="27" spans="2:14" x14ac:dyDescent="0.25">
      <c r="B27" s="17" t="s">
        <v>46</v>
      </c>
      <c r="C27" s="37">
        <v>0.5</v>
      </c>
      <c r="D27" s="37">
        <v>0</v>
      </c>
      <c r="E27" s="37">
        <v>0</v>
      </c>
      <c r="F27" s="37">
        <v>1.5</v>
      </c>
      <c r="G27" s="37">
        <v>2.2000000000000002</v>
      </c>
      <c r="H27" s="38">
        <v>2.6</v>
      </c>
      <c r="I27" s="38">
        <v>2.2999999999999998</v>
      </c>
      <c r="J27" s="37">
        <v>2.7</v>
      </c>
      <c r="K27" s="34">
        <v>2.7289509999999999</v>
      </c>
    </row>
    <row r="28" spans="2:14" x14ac:dyDescent="0.25">
      <c r="B28" s="17" t="s">
        <v>47</v>
      </c>
      <c r="C28" s="37">
        <v>681.1</v>
      </c>
      <c r="D28" s="37">
        <v>560.5</v>
      </c>
      <c r="E28" s="37">
        <v>810.9</v>
      </c>
      <c r="F28" s="37">
        <v>344.6</v>
      </c>
      <c r="G28" s="37">
        <v>1672.7</v>
      </c>
      <c r="H28" s="38">
        <v>1023.1</v>
      </c>
      <c r="I28" s="38">
        <v>721.2</v>
      </c>
      <c r="J28" s="37">
        <v>843.7</v>
      </c>
      <c r="K28" s="34">
        <v>937.24113399999999</v>
      </c>
    </row>
    <row r="29" spans="2:14" x14ac:dyDescent="0.25">
      <c r="B29" s="17" t="s">
        <v>48</v>
      </c>
      <c r="C29" s="37">
        <v>300.39999999999998</v>
      </c>
      <c r="D29" s="37">
        <v>338.7</v>
      </c>
      <c r="E29" s="37">
        <v>926.7</v>
      </c>
      <c r="F29" s="37">
        <v>353.8</v>
      </c>
      <c r="G29" s="37">
        <v>375.4</v>
      </c>
      <c r="H29" s="38">
        <v>386.9</v>
      </c>
      <c r="I29" s="38">
        <v>1318.6</v>
      </c>
      <c r="J29" s="37">
        <v>414.2</v>
      </c>
      <c r="K29" s="34">
        <v>447.79056500000002</v>
      </c>
    </row>
    <row r="30" spans="2:14" x14ac:dyDescent="0.25">
      <c r="B30" s="17" t="s">
        <v>49</v>
      </c>
      <c r="C30" s="37">
        <v>33.200000000000003</v>
      </c>
      <c r="D30" s="37">
        <v>18.5</v>
      </c>
      <c r="E30" s="37">
        <v>17.899999999999999</v>
      </c>
      <c r="F30" s="37">
        <v>37.700000000000003</v>
      </c>
      <c r="G30" s="37">
        <v>34.700000000000003</v>
      </c>
      <c r="H30" s="38">
        <v>11.4</v>
      </c>
      <c r="I30" s="38">
        <v>43.8</v>
      </c>
      <c r="J30" s="37">
        <v>38.299999999999997</v>
      </c>
      <c r="K30" s="34">
        <v>44.936357000000001</v>
      </c>
    </row>
    <row r="31" spans="2:14" x14ac:dyDescent="0.25">
      <c r="B31" s="17" t="s">
        <v>50</v>
      </c>
      <c r="C31" s="37">
        <v>0.4</v>
      </c>
      <c r="D31" s="37">
        <v>0.5</v>
      </c>
      <c r="E31" s="37">
        <v>0.6</v>
      </c>
      <c r="F31" s="37">
        <v>0.1</v>
      </c>
      <c r="G31" s="37">
        <v>0.5</v>
      </c>
      <c r="H31" s="37">
        <v>0</v>
      </c>
      <c r="I31" s="38">
        <v>0.4</v>
      </c>
      <c r="J31" s="37">
        <v>0.3</v>
      </c>
      <c r="K31" s="34">
        <v>0.50103399999999998</v>
      </c>
    </row>
    <row r="32" spans="2:14" x14ac:dyDescent="0.25">
      <c r="B32" s="17" t="s">
        <v>51</v>
      </c>
      <c r="C32" s="37">
        <v>0.6</v>
      </c>
      <c r="D32" s="37">
        <v>0.8</v>
      </c>
      <c r="E32" s="37">
        <v>0.8</v>
      </c>
      <c r="F32" s="37">
        <v>2</v>
      </c>
      <c r="G32" s="37">
        <v>0.68</v>
      </c>
      <c r="H32" s="38">
        <v>0.9</v>
      </c>
      <c r="I32" s="38">
        <v>0.4</v>
      </c>
      <c r="J32" s="37">
        <v>0.7</v>
      </c>
      <c r="K32" s="34">
        <v>1.014912</v>
      </c>
    </row>
    <row r="33" spans="2:11" x14ac:dyDescent="0.25">
      <c r="B33" s="17" t="s">
        <v>52</v>
      </c>
      <c r="C33" s="37">
        <v>0</v>
      </c>
      <c r="D33" s="37">
        <v>0</v>
      </c>
      <c r="E33" s="37">
        <v>0</v>
      </c>
      <c r="F33" s="37">
        <v>0</v>
      </c>
      <c r="G33" s="37">
        <v>0</v>
      </c>
      <c r="H33" s="37">
        <v>0</v>
      </c>
      <c r="I33" s="37">
        <v>0</v>
      </c>
      <c r="J33" s="37">
        <v>0.2</v>
      </c>
      <c r="K33" s="34">
        <v>0.20380499999999999</v>
      </c>
    </row>
    <row r="34" spans="2:11" x14ac:dyDescent="0.25">
      <c r="B34" s="17" t="s">
        <v>53</v>
      </c>
      <c r="C34" s="37">
        <v>0</v>
      </c>
      <c r="D34" s="37">
        <v>0</v>
      </c>
      <c r="E34" s="37">
        <v>0</v>
      </c>
      <c r="F34" s="37">
        <v>0</v>
      </c>
      <c r="G34" s="37">
        <v>0</v>
      </c>
      <c r="H34" s="37">
        <v>0</v>
      </c>
      <c r="I34" s="37">
        <v>0</v>
      </c>
      <c r="J34" s="37">
        <v>0</v>
      </c>
      <c r="K34" s="34">
        <v>0</v>
      </c>
    </row>
    <row r="35" spans="2:11" x14ac:dyDescent="0.25">
      <c r="B35" s="17" t="s">
        <v>54</v>
      </c>
      <c r="C35" s="60">
        <v>1.9</v>
      </c>
      <c r="D35" s="60">
        <v>3.2</v>
      </c>
      <c r="E35" s="60">
        <v>5.3</v>
      </c>
      <c r="F35" s="60">
        <v>12.5</v>
      </c>
      <c r="G35" s="37">
        <v>45</v>
      </c>
      <c r="H35" s="38">
        <v>48.9</v>
      </c>
      <c r="I35" s="38">
        <v>8.5</v>
      </c>
      <c r="J35" s="37">
        <v>11.4</v>
      </c>
      <c r="K35" s="34">
        <v>9.6800219999999992</v>
      </c>
    </row>
    <row r="36" spans="2:11" x14ac:dyDescent="0.25">
      <c r="B36" s="17" t="s">
        <v>55</v>
      </c>
      <c r="C36" s="60">
        <v>48.1</v>
      </c>
      <c r="D36" s="60">
        <v>45.5</v>
      </c>
      <c r="E36" s="60">
        <v>42</v>
      </c>
      <c r="F36" s="60">
        <v>68.3</v>
      </c>
      <c r="G36" s="37">
        <v>506.4</v>
      </c>
      <c r="H36" s="38">
        <v>513.6</v>
      </c>
      <c r="I36" s="38">
        <v>58.1</v>
      </c>
      <c r="J36" s="37">
        <v>42.3</v>
      </c>
      <c r="K36" s="34">
        <v>40.111448000000003</v>
      </c>
    </row>
    <row r="37" spans="2:11" x14ac:dyDescent="0.25">
      <c r="B37" s="17" t="s">
        <v>56</v>
      </c>
      <c r="C37" s="60">
        <v>6.7</v>
      </c>
      <c r="D37" s="60">
        <v>10.199999999999999</v>
      </c>
      <c r="E37" s="60">
        <v>9.5</v>
      </c>
      <c r="F37" s="60">
        <v>28.4</v>
      </c>
      <c r="G37" s="37">
        <v>34</v>
      </c>
      <c r="H37" s="38">
        <v>247</v>
      </c>
      <c r="I37" s="38">
        <v>55.6</v>
      </c>
      <c r="J37" s="37">
        <v>45.6</v>
      </c>
      <c r="K37" s="34">
        <v>60.058135</v>
      </c>
    </row>
    <row r="38" spans="2:11" x14ac:dyDescent="0.25">
      <c r="B38" s="17" t="s">
        <v>57</v>
      </c>
      <c r="C38" s="60">
        <v>9</v>
      </c>
      <c r="D38" s="60">
        <v>12.6</v>
      </c>
      <c r="E38" s="60">
        <v>292.89999999999998</v>
      </c>
      <c r="F38" s="60">
        <v>10.6</v>
      </c>
      <c r="G38" s="37">
        <v>10.199999999999999</v>
      </c>
      <c r="H38" s="38">
        <v>8.1</v>
      </c>
      <c r="I38" s="38">
        <v>10.7</v>
      </c>
      <c r="J38" s="37">
        <v>7.7</v>
      </c>
      <c r="K38" s="34">
        <v>12.404790999999999</v>
      </c>
    </row>
    <row r="39" spans="2:11" x14ac:dyDescent="0.25">
      <c r="B39" s="17" t="s">
        <v>58</v>
      </c>
      <c r="C39" s="60">
        <v>312.89999999999998</v>
      </c>
      <c r="D39" s="60">
        <v>37.299999999999997</v>
      </c>
      <c r="E39" s="60">
        <v>299.89999999999998</v>
      </c>
      <c r="F39" s="60">
        <v>320.39999999999998</v>
      </c>
      <c r="G39" s="37">
        <v>290.7</v>
      </c>
      <c r="H39" s="38">
        <v>313.8</v>
      </c>
      <c r="I39" s="38">
        <v>85.5</v>
      </c>
      <c r="J39" s="37">
        <v>3457.4</v>
      </c>
      <c r="K39" s="34">
        <v>152.54327000000001</v>
      </c>
    </row>
    <row r="40" spans="2:11" x14ac:dyDescent="0.25">
      <c r="B40" s="17" t="s">
        <v>59</v>
      </c>
      <c r="C40" s="60">
        <v>187.2</v>
      </c>
      <c r="D40" s="60">
        <v>184.2</v>
      </c>
      <c r="E40" s="60">
        <v>484.6</v>
      </c>
      <c r="F40" s="60">
        <v>649.9</v>
      </c>
      <c r="G40" s="37">
        <v>328.2</v>
      </c>
      <c r="H40" s="38">
        <v>255.3</v>
      </c>
      <c r="I40" s="38">
        <v>209.8</v>
      </c>
      <c r="J40" s="37">
        <v>232.5</v>
      </c>
      <c r="K40" s="34">
        <v>302.91862900000001</v>
      </c>
    </row>
    <row r="41" spans="2:11" x14ac:dyDescent="0.25">
      <c r="B41" s="17" t="s">
        <v>60</v>
      </c>
      <c r="C41" s="60">
        <v>715.9</v>
      </c>
      <c r="D41" s="60">
        <v>829</v>
      </c>
      <c r="E41" s="60">
        <v>692.7</v>
      </c>
      <c r="F41" s="60">
        <v>571.4</v>
      </c>
      <c r="G41" s="37">
        <v>877.3</v>
      </c>
      <c r="H41" s="38">
        <v>735.1</v>
      </c>
      <c r="I41" s="38">
        <v>672.4</v>
      </c>
      <c r="J41" s="37">
        <v>715.6</v>
      </c>
      <c r="K41" s="34">
        <v>735.04765599999996</v>
      </c>
    </row>
    <row r="42" spans="2:11" x14ac:dyDescent="0.25">
      <c r="B42" s="17" t="s">
        <v>61</v>
      </c>
      <c r="C42" s="60">
        <v>23.2</v>
      </c>
      <c r="D42" s="60">
        <v>503.5</v>
      </c>
      <c r="E42" s="60">
        <v>21.6</v>
      </c>
      <c r="F42" s="60">
        <v>26.3</v>
      </c>
      <c r="G42" s="37">
        <v>28.8</v>
      </c>
      <c r="H42" s="38">
        <v>25.8</v>
      </c>
      <c r="I42" s="38">
        <v>34.299999999999997</v>
      </c>
      <c r="J42" s="37">
        <v>27.7</v>
      </c>
      <c r="K42" s="34">
        <v>29.680016999999999</v>
      </c>
    </row>
    <row r="43" spans="2:11" x14ac:dyDescent="0.25">
      <c r="B43" s="17" t="s">
        <v>62</v>
      </c>
      <c r="C43" s="37">
        <v>0</v>
      </c>
      <c r="D43" s="37">
        <v>0</v>
      </c>
      <c r="E43" s="37">
        <v>0</v>
      </c>
      <c r="F43" s="37">
        <v>0</v>
      </c>
      <c r="G43" s="37">
        <v>0</v>
      </c>
      <c r="H43" s="37">
        <v>0</v>
      </c>
      <c r="I43" s="38">
        <v>2.1</v>
      </c>
      <c r="J43" s="37">
        <v>0.3</v>
      </c>
      <c r="K43" s="34">
        <v>0.23519399999999999</v>
      </c>
    </row>
    <row r="44" spans="2:11" x14ac:dyDescent="0.25">
      <c r="B44" s="17" t="s">
        <v>63</v>
      </c>
      <c r="C44" s="60">
        <v>9268.7999999999993</v>
      </c>
      <c r="D44" s="60">
        <v>4177.2</v>
      </c>
      <c r="E44" s="60">
        <v>3187.4</v>
      </c>
      <c r="F44" s="37">
        <v>2214.6</v>
      </c>
      <c r="G44" s="60">
        <v>2159.8000000000002</v>
      </c>
      <c r="H44" s="38">
        <v>2292.1999999999998</v>
      </c>
      <c r="I44" s="38">
        <v>1935.7</v>
      </c>
      <c r="J44" s="37">
        <v>2552.6</v>
      </c>
      <c r="K44" s="34">
        <v>2641.056638</v>
      </c>
    </row>
    <row r="45" spans="2:11" x14ac:dyDescent="0.25">
      <c r="B45" s="17" t="s">
        <v>64</v>
      </c>
      <c r="C45" s="60">
        <v>17.7</v>
      </c>
      <c r="D45" s="60">
        <v>22.6</v>
      </c>
      <c r="E45" s="60">
        <v>13.8</v>
      </c>
      <c r="F45" s="37">
        <v>24.9</v>
      </c>
      <c r="G45" s="60">
        <v>28.6</v>
      </c>
      <c r="H45" s="38">
        <v>27</v>
      </c>
      <c r="I45" s="38">
        <v>36.9</v>
      </c>
      <c r="J45" s="37">
        <v>26.1</v>
      </c>
      <c r="K45" s="34">
        <v>41.575760000000002</v>
      </c>
    </row>
    <row r="46" spans="2:11" x14ac:dyDescent="0.25">
      <c r="B46" s="17" t="s">
        <v>65</v>
      </c>
      <c r="C46" s="60">
        <v>22.6</v>
      </c>
      <c r="D46" s="60">
        <v>34.9</v>
      </c>
      <c r="E46" s="60">
        <v>36.1</v>
      </c>
      <c r="F46" s="37">
        <v>37.9</v>
      </c>
      <c r="G46" s="60">
        <v>37.4</v>
      </c>
      <c r="H46" s="38">
        <v>10.4</v>
      </c>
      <c r="I46" s="38">
        <v>11</v>
      </c>
      <c r="J46" s="37">
        <v>10.5</v>
      </c>
      <c r="K46" s="34">
        <v>12.778783000000001</v>
      </c>
    </row>
    <row r="47" spans="2:11" x14ac:dyDescent="0.25">
      <c r="B47" s="17" t="s">
        <v>66</v>
      </c>
      <c r="C47" s="60">
        <v>314.5</v>
      </c>
      <c r="D47" s="60">
        <v>235.7</v>
      </c>
      <c r="E47" s="60">
        <v>413.2</v>
      </c>
      <c r="F47" s="37">
        <v>333.4</v>
      </c>
      <c r="G47" s="60">
        <v>284.39999999999998</v>
      </c>
      <c r="H47" s="38">
        <v>296.5</v>
      </c>
      <c r="I47" s="38">
        <v>277.8</v>
      </c>
      <c r="J47" s="37">
        <v>305</v>
      </c>
      <c r="K47" s="34">
        <v>378.85313100000002</v>
      </c>
    </row>
    <row r="48" spans="2:11" x14ac:dyDescent="0.25">
      <c r="B48" s="17" t="s">
        <v>67</v>
      </c>
      <c r="C48" s="60">
        <v>597.29999999999995</v>
      </c>
      <c r="D48" s="60">
        <v>884.7</v>
      </c>
      <c r="E48" s="60">
        <v>730.3</v>
      </c>
      <c r="F48" s="37">
        <v>925.4</v>
      </c>
      <c r="G48" s="60">
        <v>1330.9</v>
      </c>
      <c r="H48" s="38">
        <v>1048.5</v>
      </c>
      <c r="I48" s="38">
        <v>1071</v>
      </c>
      <c r="J48" s="37">
        <v>1163.2</v>
      </c>
      <c r="K48" s="34">
        <v>1184.125045</v>
      </c>
    </row>
    <row r="49" spans="2:13" x14ac:dyDescent="0.25">
      <c r="B49" s="17" t="s">
        <v>68</v>
      </c>
      <c r="C49" s="60">
        <v>0.8</v>
      </c>
      <c r="D49" s="60">
        <v>0.8</v>
      </c>
      <c r="E49" s="60">
        <v>0.7</v>
      </c>
      <c r="F49" s="37">
        <v>0.6</v>
      </c>
      <c r="G49" s="60">
        <v>0.7</v>
      </c>
      <c r="H49" s="38">
        <v>0.7</v>
      </c>
      <c r="I49" s="38">
        <v>0.7</v>
      </c>
      <c r="J49" s="37">
        <v>0.6</v>
      </c>
      <c r="K49" s="34">
        <v>0.41020800000000002</v>
      </c>
    </row>
    <row r="50" spans="2:13" x14ac:dyDescent="0.25">
      <c r="B50" s="17" t="s">
        <v>69</v>
      </c>
      <c r="C50" s="60">
        <v>446.3</v>
      </c>
      <c r="D50" s="60">
        <v>382.9</v>
      </c>
      <c r="E50" s="60">
        <v>279.7</v>
      </c>
      <c r="F50" s="37">
        <v>458.9</v>
      </c>
      <c r="G50" s="60">
        <v>543.5</v>
      </c>
      <c r="H50" s="38">
        <v>405.8</v>
      </c>
      <c r="I50" s="38">
        <v>452.8</v>
      </c>
      <c r="J50" s="37">
        <v>1586.6</v>
      </c>
      <c r="K50" s="34">
        <v>622.56066099999998</v>
      </c>
    </row>
    <row r="51" spans="2:13" x14ac:dyDescent="0.25">
      <c r="B51" s="17" t="s">
        <v>70</v>
      </c>
      <c r="C51" s="60">
        <v>2820.9</v>
      </c>
      <c r="D51" s="60">
        <v>945.3</v>
      </c>
      <c r="E51" s="60">
        <v>1477.9</v>
      </c>
      <c r="F51" s="37">
        <v>847.1</v>
      </c>
      <c r="G51" s="60">
        <v>878.2</v>
      </c>
      <c r="H51" s="38">
        <v>931.5</v>
      </c>
      <c r="I51" s="38">
        <v>776.9</v>
      </c>
      <c r="J51" s="37">
        <v>812.2</v>
      </c>
      <c r="K51" s="34">
        <v>840.53187300000002</v>
      </c>
    </row>
    <row r="52" spans="2:13" x14ac:dyDescent="0.25">
      <c r="B52" s="16"/>
      <c r="C52" s="21"/>
      <c r="D52" s="21"/>
      <c r="E52" s="21"/>
      <c r="F52" s="21"/>
      <c r="G52" s="21"/>
      <c r="H52" s="21"/>
      <c r="I52" s="21"/>
      <c r="J52" s="24"/>
      <c r="K52" s="16"/>
      <c r="M52" s="23"/>
    </row>
    <row r="53" spans="2:13" ht="30.75" customHeight="1" x14ac:dyDescent="0.25">
      <c r="B53" s="65" t="s">
        <v>241</v>
      </c>
      <c r="C53" s="65"/>
      <c r="D53" s="65"/>
      <c r="E53" s="65"/>
      <c r="F53" s="65"/>
      <c r="G53" s="65"/>
      <c r="H53" s="65"/>
      <c r="I53" s="65"/>
      <c r="J53" s="65"/>
      <c r="K53" s="65"/>
    </row>
    <row r="54" spans="2:13" ht="90" customHeight="1" x14ac:dyDescent="0.25">
      <c r="B54" s="68" t="s">
        <v>248</v>
      </c>
      <c r="C54" s="68"/>
      <c r="D54" s="68"/>
      <c r="E54" s="68"/>
      <c r="F54" s="68"/>
      <c r="G54" s="68"/>
      <c r="H54" s="68"/>
      <c r="I54" s="68"/>
      <c r="J54" s="68"/>
      <c r="K54" s="68"/>
    </row>
    <row r="55" spans="2:13" ht="63.95" customHeight="1" x14ac:dyDescent="0.25">
      <c r="B55" s="68"/>
      <c r="C55" s="68"/>
      <c r="D55" s="68"/>
      <c r="E55" s="68"/>
      <c r="F55" s="68"/>
      <c r="G55" s="68"/>
      <c r="H55" s="68"/>
      <c r="I55" s="68"/>
      <c r="J55" s="68"/>
      <c r="K55" s="68"/>
    </row>
    <row r="56" spans="2:13" ht="60.75" customHeight="1" x14ac:dyDescent="0.25">
      <c r="B56" s="69" t="s">
        <v>247</v>
      </c>
      <c r="C56" s="69"/>
      <c r="D56" s="69"/>
      <c r="E56" s="69"/>
      <c r="F56" s="69"/>
      <c r="G56" s="69"/>
      <c r="H56" s="69"/>
      <c r="I56" s="69"/>
      <c r="J56" s="69"/>
      <c r="K56" s="69"/>
    </row>
    <row r="57" spans="2:13" x14ac:dyDescent="0.25">
      <c r="B57" s="70" t="s">
        <v>239</v>
      </c>
      <c r="C57" s="70"/>
      <c r="D57" s="70"/>
    </row>
  </sheetData>
  <mergeCells count="7">
    <mergeCell ref="B8:K8"/>
    <mergeCell ref="B57:D57"/>
    <mergeCell ref="B10:B11"/>
    <mergeCell ref="B53:K53"/>
    <mergeCell ref="B54:K55"/>
    <mergeCell ref="C11:K11"/>
    <mergeCell ref="B56:K5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workbookViewId="0">
      <selection activeCell="C3" sqref="C3"/>
    </sheetView>
  </sheetViews>
  <sheetFormatPr baseColWidth="10" defaultRowHeight="15" x14ac:dyDescent="0.25"/>
  <cols>
    <col min="1" max="1" width="30.140625" customWidth="1"/>
    <col min="14" max="14" width="19.5703125" customWidth="1"/>
    <col min="15" max="22" width="13" bestFit="1" customWidth="1"/>
    <col min="23" max="23" width="13" customWidth="1"/>
  </cols>
  <sheetData>
    <row r="1" spans="1:23" ht="15" customHeight="1" x14ac:dyDescent="0.25">
      <c r="A1" s="28" t="s">
        <v>230</v>
      </c>
      <c r="B1" s="13">
        <v>2014</v>
      </c>
      <c r="C1" s="13">
        <v>2015</v>
      </c>
      <c r="D1" s="13">
        <v>2016</v>
      </c>
      <c r="E1" s="13">
        <v>2017</v>
      </c>
      <c r="F1" s="13">
        <v>2018</v>
      </c>
      <c r="G1" s="14">
        <v>2019</v>
      </c>
      <c r="H1" s="14">
        <v>2020</v>
      </c>
      <c r="I1" s="14">
        <v>2021</v>
      </c>
      <c r="J1" s="14">
        <v>2022</v>
      </c>
      <c r="N1" s="25" t="s">
        <v>216</v>
      </c>
      <c r="O1" t="s">
        <v>221</v>
      </c>
      <c r="P1" t="s">
        <v>222</v>
      </c>
      <c r="Q1" t="s">
        <v>223</v>
      </c>
      <c r="R1" t="s">
        <v>224</v>
      </c>
      <c r="S1" t="s">
        <v>225</v>
      </c>
      <c r="T1" t="s">
        <v>226</v>
      </c>
      <c r="U1" t="s">
        <v>227</v>
      </c>
      <c r="V1" t="s">
        <v>228</v>
      </c>
      <c r="W1" t="s">
        <v>229</v>
      </c>
    </row>
    <row r="2" spans="1:23" x14ac:dyDescent="0.25">
      <c r="A2" s="15" t="str">
        <f>+'Consumo energía AA'!B12</f>
        <v>AMB</v>
      </c>
      <c r="B2" s="15">
        <f>+'Consumo energía AA'!C12</f>
        <v>0</v>
      </c>
      <c r="C2" s="15">
        <f>+'Consumo energía AA'!D12</f>
        <v>0.2</v>
      </c>
      <c r="D2" s="15">
        <f>+'Consumo energía AA'!E12</f>
        <v>0.2</v>
      </c>
      <c r="E2" s="15">
        <f>+'Consumo energía AA'!F12</f>
        <v>0.8</v>
      </c>
      <c r="F2" s="15">
        <f>+'Consumo energía AA'!G12</f>
        <v>0.5</v>
      </c>
      <c r="G2" s="15">
        <f>+'Consumo energía AA'!H12</f>
        <v>0.5</v>
      </c>
      <c r="H2" s="15">
        <f>+'Consumo energía AA'!I12</f>
        <v>1.5</v>
      </c>
      <c r="I2" s="15">
        <f>+'Consumo energía AA'!J12</f>
        <v>0</v>
      </c>
      <c r="J2" s="15">
        <f>+'Consumo energía AA'!K12</f>
        <v>0</v>
      </c>
      <c r="N2" s="26" t="s">
        <v>31</v>
      </c>
      <c r="O2">
        <v>0</v>
      </c>
      <c r="P2">
        <v>0.2</v>
      </c>
      <c r="Q2">
        <v>0.2</v>
      </c>
      <c r="R2">
        <v>0.8</v>
      </c>
      <c r="S2">
        <v>0.5</v>
      </c>
      <c r="T2">
        <v>0.5</v>
      </c>
      <c r="U2">
        <v>1.5</v>
      </c>
      <c r="V2">
        <v>0</v>
      </c>
      <c r="W2">
        <v>0</v>
      </c>
    </row>
    <row r="3" spans="1:23" x14ac:dyDescent="0.25">
      <c r="A3" s="15" t="str">
        <f>+'Consumo energía AA'!B13</f>
        <v>AMVA</v>
      </c>
      <c r="B3" s="15">
        <f>+'Consumo energía AA'!C13</f>
        <v>1400.3</v>
      </c>
      <c r="C3" s="15">
        <f>+'Consumo energía AA'!D13</f>
        <v>1330.4</v>
      </c>
      <c r="D3" s="15">
        <f>+'Consumo energía AA'!E13</f>
        <v>1170.8</v>
      </c>
      <c r="E3" s="15">
        <f>+'Consumo energía AA'!F13</f>
        <v>1442.1</v>
      </c>
      <c r="F3" s="15">
        <f>+'Consumo energía AA'!G13</f>
        <v>1854.5</v>
      </c>
      <c r="G3" s="15">
        <f>+'Consumo energía AA'!H13</f>
        <v>1085.9000000000001</v>
      </c>
      <c r="H3" s="15">
        <f>+'Consumo energía AA'!I13</f>
        <v>1682.6</v>
      </c>
      <c r="I3" s="15">
        <f>+'Consumo energía AA'!J13</f>
        <v>1125.0999999999999</v>
      </c>
      <c r="J3" s="15">
        <f>+'Consumo energía AA'!K13</f>
        <v>1314.8044520000001</v>
      </c>
      <c r="N3" s="26" t="s">
        <v>32</v>
      </c>
      <c r="O3">
        <v>1400.3</v>
      </c>
      <c r="P3">
        <v>1330.4</v>
      </c>
      <c r="Q3">
        <v>1170.8</v>
      </c>
      <c r="R3">
        <v>1442.1</v>
      </c>
      <c r="S3">
        <v>1854.5</v>
      </c>
      <c r="T3">
        <v>1085.9000000000001</v>
      </c>
      <c r="U3">
        <v>1682.6</v>
      </c>
      <c r="V3">
        <v>1125.0999999999999</v>
      </c>
      <c r="W3">
        <v>1314.8044520000001</v>
      </c>
    </row>
    <row r="4" spans="1:23" x14ac:dyDescent="0.25">
      <c r="A4" s="15" t="str">
        <f>+'Consumo energía AA'!B14</f>
        <v>ANLA</v>
      </c>
      <c r="B4" s="15">
        <f>+'Consumo energía AA'!C14</f>
        <v>0</v>
      </c>
      <c r="C4" s="15">
        <f>+'Consumo energía AA'!D14</f>
        <v>0</v>
      </c>
      <c r="D4" s="15">
        <f>+'Consumo energía AA'!E14</f>
        <v>0</v>
      </c>
      <c r="E4" s="15">
        <f>+'Consumo energía AA'!F14</f>
        <v>1512.6</v>
      </c>
      <c r="F4" s="15">
        <f>+'Consumo energía AA'!G14</f>
        <v>35.5</v>
      </c>
      <c r="G4" s="15">
        <f>+'Consumo energía AA'!H14</f>
        <v>714.2</v>
      </c>
      <c r="H4" s="15">
        <f>+'Consumo energía AA'!I14</f>
        <v>729.1</v>
      </c>
      <c r="I4" s="15">
        <f>+'Consumo energía AA'!J14</f>
        <v>757.7</v>
      </c>
      <c r="J4" s="15">
        <f>+'Consumo energía AA'!K14</f>
        <v>46.470516000000003</v>
      </c>
      <c r="N4" s="26" t="s">
        <v>33</v>
      </c>
      <c r="O4">
        <v>0</v>
      </c>
      <c r="P4">
        <v>0</v>
      </c>
      <c r="Q4">
        <v>0</v>
      </c>
      <c r="R4">
        <v>1512.6</v>
      </c>
      <c r="S4">
        <v>35.5</v>
      </c>
      <c r="T4">
        <v>714.2</v>
      </c>
      <c r="U4">
        <v>729.1</v>
      </c>
      <c r="V4">
        <v>757.7</v>
      </c>
      <c r="W4">
        <v>46.470516000000003</v>
      </c>
    </row>
    <row r="5" spans="1:23" x14ac:dyDescent="0.25">
      <c r="A5" s="15" t="str">
        <f>+'Consumo energía AA'!B15</f>
        <v>CAM</v>
      </c>
      <c r="B5" s="15">
        <f>+'Consumo energía AA'!C15</f>
        <v>386</v>
      </c>
      <c r="C5" s="15">
        <f>+'Consumo energía AA'!D15</f>
        <v>33.700000000000003</v>
      </c>
      <c r="D5" s="15">
        <f>+'Consumo energía AA'!E15</f>
        <v>31.7</v>
      </c>
      <c r="E5" s="15">
        <f>+'Consumo energía AA'!F15</f>
        <v>35.6</v>
      </c>
      <c r="F5" s="15">
        <f>+'Consumo energía AA'!G15</f>
        <v>20.399999999999999</v>
      </c>
      <c r="G5" s="15">
        <f>+'Consumo energía AA'!H15</f>
        <v>32.5</v>
      </c>
      <c r="H5" s="15">
        <f>+'Consumo energía AA'!I15</f>
        <v>45.9</v>
      </c>
      <c r="I5" s="15">
        <f>+'Consumo energía AA'!J15</f>
        <v>50.1</v>
      </c>
      <c r="J5" s="15">
        <f>+'Consumo energía AA'!K15</f>
        <v>56.548462000000001</v>
      </c>
      <c r="N5" s="26" t="s">
        <v>34</v>
      </c>
      <c r="O5">
        <v>386</v>
      </c>
      <c r="P5">
        <v>33.700000000000003</v>
      </c>
      <c r="Q5">
        <v>31.7</v>
      </c>
      <c r="R5">
        <v>35.6</v>
      </c>
      <c r="S5">
        <v>20.399999999999999</v>
      </c>
      <c r="T5">
        <v>32.5</v>
      </c>
      <c r="U5">
        <v>45.9</v>
      </c>
      <c r="V5">
        <v>50.1</v>
      </c>
      <c r="W5">
        <v>56.548462000000001</v>
      </c>
    </row>
    <row r="6" spans="1:23" x14ac:dyDescent="0.25">
      <c r="A6" s="15" t="str">
        <f>+'Consumo energía AA'!B16</f>
        <v>CAR</v>
      </c>
      <c r="B6" s="15">
        <f>+'Consumo energía AA'!C16</f>
        <v>3905</v>
      </c>
      <c r="C6" s="15">
        <f>+'Consumo energía AA'!D16</f>
        <v>1764.5</v>
      </c>
      <c r="D6" s="15">
        <f>+'Consumo energía AA'!E16</f>
        <v>1486.2</v>
      </c>
      <c r="E6" s="15">
        <f>+'Consumo energía AA'!F16</f>
        <v>1567.5</v>
      </c>
      <c r="F6" s="15">
        <f>+'Consumo energía AA'!G16</f>
        <v>1730.6</v>
      </c>
      <c r="G6" s="15">
        <f>+'Consumo energía AA'!H16</f>
        <v>1522.8</v>
      </c>
      <c r="H6" s="15">
        <f>+'Consumo energía AA'!I16</f>
        <v>1853</v>
      </c>
      <c r="I6" s="15">
        <f>+'Consumo energía AA'!J16</f>
        <v>2007.2</v>
      </c>
      <c r="J6" s="15">
        <f>+'Consumo energía AA'!K16</f>
        <v>2224.8628950000002</v>
      </c>
      <c r="N6" s="26" t="s">
        <v>35</v>
      </c>
      <c r="O6">
        <v>3905</v>
      </c>
      <c r="P6">
        <v>1764.5</v>
      </c>
      <c r="Q6">
        <v>1486.2</v>
      </c>
      <c r="R6">
        <v>1567.5</v>
      </c>
      <c r="S6">
        <v>1730.6</v>
      </c>
      <c r="T6">
        <v>1522.8</v>
      </c>
      <c r="U6">
        <v>1853</v>
      </c>
      <c r="V6">
        <v>2007.2</v>
      </c>
      <c r="W6">
        <v>2224.8628950000002</v>
      </c>
    </row>
    <row r="7" spans="1:23" x14ac:dyDescent="0.25">
      <c r="A7" s="15" t="str">
        <f>+'Consumo energía AA'!B17</f>
        <v>CARDER</v>
      </c>
      <c r="B7" s="15">
        <f>+'Consumo energía AA'!C17</f>
        <v>274.60000000000002</v>
      </c>
      <c r="C7" s="15">
        <f>+'Consumo energía AA'!D17</f>
        <v>265</v>
      </c>
      <c r="D7" s="15">
        <f>+'Consumo energía AA'!E17</f>
        <v>267.60000000000002</v>
      </c>
      <c r="E7" s="15">
        <f>+'Consumo energía AA'!F17</f>
        <v>260.39999999999998</v>
      </c>
      <c r="F7" s="15">
        <f>+'Consumo energía AA'!G17</f>
        <v>604.29999999999995</v>
      </c>
      <c r="G7" s="15">
        <f>+'Consumo energía AA'!H17</f>
        <v>281.8</v>
      </c>
      <c r="H7" s="15">
        <f>+'Consumo energía AA'!I17</f>
        <v>171.6</v>
      </c>
      <c r="I7" s="15">
        <f>+'Consumo energía AA'!J17</f>
        <v>173.2</v>
      </c>
      <c r="J7" s="15">
        <f>+'Consumo energía AA'!K17</f>
        <v>303.65776199999999</v>
      </c>
      <c r="N7" s="26" t="s">
        <v>36</v>
      </c>
      <c r="O7">
        <v>274.60000000000002</v>
      </c>
      <c r="P7">
        <v>265</v>
      </c>
      <c r="Q7">
        <v>267.60000000000002</v>
      </c>
      <c r="R7">
        <v>260.39999999999998</v>
      </c>
      <c r="S7">
        <v>604.29999999999995</v>
      </c>
      <c r="T7">
        <v>281.8</v>
      </c>
      <c r="U7">
        <v>171.6</v>
      </c>
      <c r="V7">
        <v>173.2</v>
      </c>
      <c r="W7">
        <v>303.65776199999999</v>
      </c>
    </row>
    <row r="8" spans="1:23" x14ac:dyDescent="0.25">
      <c r="A8" s="15" t="str">
        <f>+'Consumo energía AA'!B18</f>
        <v>CARDIQUE</v>
      </c>
      <c r="B8" s="15">
        <f>+'Consumo energía AA'!C18</f>
        <v>8.8000000000000007</v>
      </c>
      <c r="C8" s="15">
        <f>+'Consumo energía AA'!D18</f>
        <v>25</v>
      </c>
      <c r="D8" s="15">
        <f>+'Consumo energía AA'!E18</f>
        <v>24.2</v>
      </c>
      <c r="E8" s="15">
        <f>+'Consumo energía AA'!F18</f>
        <v>43.3</v>
      </c>
      <c r="F8" s="15">
        <f>+'Consumo energía AA'!G18</f>
        <v>32.200000000000003</v>
      </c>
      <c r="G8" s="15">
        <f>+'Consumo energía AA'!H18</f>
        <v>61.4</v>
      </c>
      <c r="H8" s="15">
        <f>+'Consumo energía AA'!I18</f>
        <v>35.1</v>
      </c>
      <c r="I8" s="15">
        <f>+'Consumo energía AA'!J18</f>
        <v>40.4</v>
      </c>
      <c r="J8" s="15">
        <f>+'Consumo energía AA'!K18</f>
        <v>48.132112999999997</v>
      </c>
      <c r="N8" s="26" t="s">
        <v>37</v>
      </c>
      <c r="O8">
        <v>8.8000000000000007</v>
      </c>
      <c r="P8">
        <v>25</v>
      </c>
      <c r="Q8">
        <v>24.2</v>
      </c>
      <c r="R8">
        <v>43.3</v>
      </c>
      <c r="S8">
        <v>32.200000000000003</v>
      </c>
      <c r="T8">
        <v>61.4</v>
      </c>
      <c r="U8">
        <v>35.1</v>
      </c>
      <c r="V8">
        <v>40.4</v>
      </c>
      <c r="W8">
        <v>48.132112999999997</v>
      </c>
    </row>
    <row r="9" spans="1:23" x14ac:dyDescent="0.25">
      <c r="A9" s="15" t="str">
        <f>+'Consumo energía AA'!B19</f>
        <v>CARSUCRE</v>
      </c>
      <c r="B9" s="15">
        <f>+'Consumo energía AA'!C19</f>
        <v>61.7</v>
      </c>
      <c r="C9" s="15">
        <f>+'Consumo energía AA'!D19</f>
        <v>77</v>
      </c>
      <c r="D9" s="15">
        <f>+'Consumo energía AA'!E19</f>
        <v>72.8</v>
      </c>
      <c r="E9" s="15">
        <f>+'Consumo energía AA'!F19</f>
        <v>65.099999999999994</v>
      </c>
      <c r="F9" s="15">
        <f>+'Consumo energía AA'!G19</f>
        <v>52</v>
      </c>
      <c r="G9" s="15">
        <f>+'Consumo energía AA'!H19</f>
        <v>3.7</v>
      </c>
      <c r="H9" s="15">
        <f>+'Consumo energía AA'!I19</f>
        <v>42.7</v>
      </c>
      <c r="I9" s="15">
        <f>+'Consumo energía AA'!J19</f>
        <v>51.9</v>
      </c>
      <c r="J9" s="15">
        <f>+'Consumo energía AA'!K19</f>
        <v>60.285167000000001</v>
      </c>
      <c r="N9" s="26" t="s">
        <v>38</v>
      </c>
      <c r="O9">
        <v>61.7</v>
      </c>
      <c r="P9">
        <v>77</v>
      </c>
      <c r="Q9">
        <v>72.8</v>
      </c>
      <c r="R9">
        <v>65.099999999999994</v>
      </c>
      <c r="S9">
        <v>52</v>
      </c>
      <c r="T9">
        <v>3.7</v>
      </c>
      <c r="U9">
        <v>42.7</v>
      </c>
      <c r="V9">
        <v>51.9</v>
      </c>
      <c r="W9">
        <v>60.285167000000001</v>
      </c>
    </row>
    <row r="10" spans="1:23" x14ac:dyDescent="0.25">
      <c r="A10" s="15" t="str">
        <f>+'Consumo energía AA'!B20</f>
        <v>CAS</v>
      </c>
      <c r="B10" s="15">
        <f>+'Consumo energía AA'!C20</f>
        <v>25.4</v>
      </c>
      <c r="C10" s="15">
        <f>+'Consumo energía AA'!D20</f>
        <v>9.5</v>
      </c>
      <c r="D10" s="15">
        <f>+'Consumo energía AA'!E20</f>
        <v>1.3</v>
      </c>
      <c r="E10" s="15">
        <f>+'Consumo energía AA'!F20</f>
        <v>12.5</v>
      </c>
      <c r="F10" s="15">
        <f>+'Consumo energía AA'!G20</f>
        <v>15.7</v>
      </c>
      <c r="G10" s="15">
        <f>+'Consumo energía AA'!H20</f>
        <v>11.2</v>
      </c>
      <c r="H10" s="15">
        <f>+'Consumo energía AA'!I20</f>
        <v>10.9</v>
      </c>
      <c r="I10" s="15">
        <f>+'Consumo energía AA'!J20</f>
        <v>23.2</v>
      </c>
      <c r="J10" s="15">
        <f>+'Consumo energía AA'!K20</f>
        <v>688.94721300000003</v>
      </c>
      <c r="N10" s="26" t="s">
        <v>39</v>
      </c>
      <c r="O10">
        <v>25.4</v>
      </c>
      <c r="P10">
        <v>9.5</v>
      </c>
      <c r="Q10">
        <v>1.3</v>
      </c>
      <c r="R10">
        <v>12.5</v>
      </c>
      <c r="S10">
        <v>15.7</v>
      </c>
      <c r="T10">
        <v>11.2</v>
      </c>
      <c r="U10">
        <v>10.9</v>
      </c>
      <c r="V10">
        <v>23.2</v>
      </c>
      <c r="W10">
        <v>688.94721300000003</v>
      </c>
    </row>
    <row r="11" spans="1:23" x14ac:dyDescent="0.25">
      <c r="A11" s="15" t="str">
        <f>+'Consumo energía AA'!B21</f>
        <v>CDA</v>
      </c>
      <c r="B11" s="15">
        <f>+'Consumo energía AA'!C21</f>
        <v>0</v>
      </c>
      <c r="C11" s="15">
        <f>+'Consumo energía AA'!D21</f>
        <v>0</v>
      </c>
      <c r="D11" s="15">
        <f>+'Consumo energía AA'!E21</f>
        <v>0</v>
      </c>
      <c r="E11" s="15">
        <f>+'Consumo energía AA'!F21</f>
        <v>0</v>
      </c>
      <c r="F11" s="15">
        <f>+'Consumo energía AA'!G21</f>
        <v>0</v>
      </c>
      <c r="G11" s="15">
        <f>+'Consumo energía AA'!H21</f>
        <v>0</v>
      </c>
      <c r="H11" s="15">
        <f>+'Consumo energía AA'!I21</f>
        <v>0</v>
      </c>
      <c r="I11" s="15">
        <f>+'Consumo energía AA'!J21</f>
        <v>5.0699999999999996E-4</v>
      </c>
      <c r="J11" s="15">
        <f>+'Consumo energía AA'!K21</f>
        <v>0</v>
      </c>
      <c r="N11" s="26" t="s">
        <v>40</v>
      </c>
      <c r="O11">
        <v>0</v>
      </c>
      <c r="P11">
        <v>0</v>
      </c>
      <c r="Q11">
        <v>0</v>
      </c>
      <c r="R11">
        <v>0</v>
      </c>
      <c r="S11">
        <v>0</v>
      </c>
      <c r="T11">
        <v>0</v>
      </c>
      <c r="U11">
        <v>0</v>
      </c>
      <c r="V11">
        <v>5.0699999999999996E-4</v>
      </c>
      <c r="W11">
        <v>0</v>
      </c>
    </row>
    <row r="12" spans="1:23" x14ac:dyDescent="0.25">
      <c r="A12" s="15" t="str">
        <f>+'Consumo energía AA'!B22</f>
        <v>CDMB</v>
      </c>
      <c r="B12" s="15">
        <f>+'Consumo energía AA'!C22</f>
        <v>347.8</v>
      </c>
      <c r="C12" s="15">
        <f>+'Consumo energía AA'!D22</f>
        <v>73</v>
      </c>
      <c r="D12" s="15">
        <f>+'Consumo energía AA'!E22</f>
        <v>83</v>
      </c>
      <c r="E12" s="15">
        <f>+'Consumo energía AA'!F22</f>
        <v>89.7</v>
      </c>
      <c r="F12" s="15">
        <f>+'Consumo energía AA'!G22</f>
        <v>962.42</v>
      </c>
      <c r="G12" s="15">
        <f>+'Consumo energía AA'!H22</f>
        <v>23.8</v>
      </c>
      <c r="H12" s="15">
        <f>+'Consumo energía AA'!I22</f>
        <v>44.9</v>
      </c>
      <c r="I12" s="15">
        <f>+'Consumo energía AA'!J22</f>
        <v>125.9</v>
      </c>
      <c r="J12" s="15">
        <f>+'Consumo energía AA'!K22</f>
        <v>148.55556300000001</v>
      </c>
      <c r="N12" s="26" t="s">
        <v>41</v>
      </c>
      <c r="O12">
        <v>347.8</v>
      </c>
      <c r="P12">
        <v>73</v>
      </c>
      <c r="Q12">
        <v>83</v>
      </c>
      <c r="R12">
        <v>89.7</v>
      </c>
      <c r="S12">
        <v>962.42</v>
      </c>
      <c r="T12">
        <v>23.8</v>
      </c>
      <c r="U12">
        <v>44.9</v>
      </c>
      <c r="V12">
        <v>125.9</v>
      </c>
      <c r="W12">
        <v>148.55556300000001</v>
      </c>
    </row>
    <row r="13" spans="1:23" x14ac:dyDescent="0.25">
      <c r="A13" s="15" t="str">
        <f>+'Consumo energía AA'!B23</f>
        <v>CORANTIOQUIA</v>
      </c>
      <c r="B13" s="15">
        <f>+'Consumo energía AA'!C23</f>
        <v>268.5</v>
      </c>
      <c r="C13" s="15">
        <f>+'Consumo energía AA'!D23</f>
        <v>498.6</v>
      </c>
      <c r="D13" s="15">
        <f>+'Consumo energía AA'!E23</f>
        <v>152.80000000000001</v>
      </c>
      <c r="E13" s="15">
        <f>+'Consumo energía AA'!F23</f>
        <v>307.5</v>
      </c>
      <c r="F13" s="15">
        <f>+'Consumo energía AA'!G23</f>
        <v>184</v>
      </c>
      <c r="G13" s="15">
        <f>+'Consumo energía AA'!H23</f>
        <v>230.4</v>
      </c>
      <c r="H13" s="15">
        <f>+'Consumo energía AA'!I23</f>
        <v>184.5</v>
      </c>
      <c r="I13" s="15">
        <f>+'Consumo energía AA'!J23</f>
        <v>242.2</v>
      </c>
      <c r="J13" s="15">
        <f>+'Consumo energía AA'!K23</f>
        <v>252.93688700000001</v>
      </c>
      <c r="N13" s="26" t="s">
        <v>42</v>
      </c>
      <c r="O13">
        <v>268.5</v>
      </c>
      <c r="P13">
        <v>498.6</v>
      </c>
      <c r="Q13">
        <v>152.80000000000001</v>
      </c>
      <c r="R13">
        <v>307.5</v>
      </c>
      <c r="S13">
        <v>184</v>
      </c>
      <c r="T13">
        <v>230.4</v>
      </c>
      <c r="U13">
        <v>184.5</v>
      </c>
      <c r="V13">
        <v>242.2</v>
      </c>
      <c r="W13">
        <v>252.93688700000001</v>
      </c>
    </row>
    <row r="14" spans="1:23" x14ac:dyDescent="0.25">
      <c r="A14" s="15" t="str">
        <f>+'Consumo energía AA'!B24</f>
        <v>CORMACARENA</v>
      </c>
      <c r="B14" s="15">
        <f>+'Consumo energía AA'!C24</f>
        <v>15.1</v>
      </c>
      <c r="C14" s="15">
        <f>+'Consumo energía AA'!D24</f>
        <v>14.6</v>
      </c>
      <c r="D14" s="15">
        <f>+'Consumo energía AA'!E24</f>
        <v>25.3</v>
      </c>
      <c r="E14" s="15">
        <f>+'Consumo energía AA'!F24</f>
        <v>21.6</v>
      </c>
      <c r="F14" s="15">
        <f>+'Consumo energía AA'!G24</f>
        <v>61.7</v>
      </c>
      <c r="G14" s="15">
        <f>+'Consumo energía AA'!H24</f>
        <v>100.7</v>
      </c>
      <c r="H14" s="15">
        <f>+'Consumo energía AA'!I24</f>
        <v>115.3</v>
      </c>
      <c r="I14" s="15">
        <f>+'Consumo energía AA'!J24</f>
        <v>69.7</v>
      </c>
      <c r="J14" s="15">
        <f>+'Consumo energía AA'!K24</f>
        <v>48.763159000000002</v>
      </c>
      <c r="N14" s="26" t="s">
        <v>43</v>
      </c>
      <c r="O14">
        <v>15.1</v>
      </c>
      <c r="P14">
        <v>14.6</v>
      </c>
      <c r="Q14">
        <v>25.3</v>
      </c>
      <c r="R14">
        <v>21.6</v>
      </c>
      <c r="S14">
        <v>61.7</v>
      </c>
      <c r="T14">
        <v>100.7</v>
      </c>
      <c r="U14">
        <v>115.3</v>
      </c>
      <c r="V14">
        <v>69.7</v>
      </c>
      <c r="W14">
        <v>48.763159000000002</v>
      </c>
    </row>
    <row r="15" spans="1:23" x14ac:dyDescent="0.25">
      <c r="A15" s="15" t="str">
        <f>+'Consumo energía AA'!B25</f>
        <v>CORNARE</v>
      </c>
      <c r="B15" s="15">
        <f>+'Consumo energía AA'!C25</f>
        <v>420.1</v>
      </c>
      <c r="C15" s="15">
        <f>+'Consumo energía AA'!D25</f>
        <v>487.9</v>
      </c>
      <c r="D15" s="15">
        <f>+'Consumo energía AA'!E25</f>
        <v>393</v>
      </c>
      <c r="E15" s="15">
        <f>+'Consumo energía AA'!F25</f>
        <v>250.8</v>
      </c>
      <c r="F15" s="15">
        <f>+'Consumo energía AA'!G25</f>
        <v>164.6</v>
      </c>
      <c r="G15" s="15">
        <f>+'Consumo energía AA'!H25</f>
        <v>452.6</v>
      </c>
      <c r="H15" s="15">
        <f>+'Consumo energía AA'!I25</f>
        <v>345.1</v>
      </c>
      <c r="I15" s="15">
        <f>+'Consumo energía AA'!J25</f>
        <v>426.6</v>
      </c>
      <c r="J15" s="15">
        <f>+'Consumo energía AA'!K25</f>
        <v>581.77805799999999</v>
      </c>
      <c r="N15" s="26" t="s">
        <v>44</v>
      </c>
      <c r="O15">
        <v>420.1</v>
      </c>
      <c r="P15">
        <v>487.9</v>
      </c>
      <c r="Q15">
        <v>393</v>
      </c>
      <c r="R15">
        <v>250.8</v>
      </c>
      <c r="S15">
        <v>164.6</v>
      </c>
      <c r="T15">
        <v>452.6</v>
      </c>
      <c r="U15">
        <v>345.1</v>
      </c>
      <c r="V15">
        <v>426.6</v>
      </c>
      <c r="W15">
        <v>581.77805799999999</v>
      </c>
    </row>
    <row r="16" spans="1:23" x14ac:dyDescent="0.25">
      <c r="A16" s="15" t="str">
        <f>+'Consumo energía AA'!B26</f>
        <v>CORPAMAG</v>
      </c>
      <c r="B16" s="15">
        <f>+'Consumo energía AA'!C26</f>
        <v>14.7</v>
      </c>
      <c r="C16" s="15">
        <f>+'Consumo energía AA'!D26</f>
        <v>24.3</v>
      </c>
      <c r="D16" s="15">
        <f>+'Consumo energía AA'!E26</f>
        <v>23.2</v>
      </c>
      <c r="E16" s="15">
        <f>+'Consumo energía AA'!F26</f>
        <v>13</v>
      </c>
      <c r="F16" s="15">
        <f>+'Consumo energía AA'!G26</f>
        <v>20.100000000000001</v>
      </c>
      <c r="G16" s="15">
        <f>+'Consumo energía AA'!H26</f>
        <v>50.2</v>
      </c>
      <c r="H16" s="15">
        <f>+'Consumo energía AA'!I26</f>
        <v>39.200000000000003</v>
      </c>
      <c r="I16" s="15">
        <f>+'Consumo energía AA'!J26</f>
        <v>31.7</v>
      </c>
      <c r="J16" s="15">
        <f>+'Consumo energía AA'!K26</f>
        <v>51.60219</v>
      </c>
      <c r="N16" s="26" t="s">
        <v>45</v>
      </c>
      <c r="O16">
        <v>14.7</v>
      </c>
      <c r="P16">
        <v>24.3</v>
      </c>
      <c r="Q16">
        <v>23.2</v>
      </c>
      <c r="R16">
        <v>13</v>
      </c>
      <c r="S16">
        <v>20.100000000000001</v>
      </c>
      <c r="T16">
        <v>50.2</v>
      </c>
      <c r="U16">
        <v>39.200000000000003</v>
      </c>
      <c r="V16">
        <v>31.7</v>
      </c>
      <c r="W16">
        <v>51.60219</v>
      </c>
    </row>
    <row r="17" spans="1:23" x14ac:dyDescent="0.25">
      <c r="A17" s="15" t="str">
        <f>+'Consumo energía AA'!B27</f>
        <v>CORPOAMAZONIA</v>
      </c>
      <c r="B17" s="15">
        <f>+'Consumo energía AA'!C27</f>
        <v>0.5</v>
      </c>
      <c r="C17" s="15">
        <f>+'Consumo energía AA'!D27</f>
        <v>0</v>
      </c>
      <c r="D17" s="15">
        <f>+'Consumo energía AA'!E27</f>
        <v>0</v>
      </c>
      <c r="E17" s="15">
        <f>+'Consumo energía AA'!F27</f>
        <v>1.5</v>
      </c>
      <c r="F17" s="15">
        <f>+'Consumo energía AA'!G27</f>
        <v>2.2000000000000002</v>
      </c>
      <c r="G17" s="15">
        <f>+'Consumo energía AA'!H27</f>
        <v>2.6</v>
      </c>
      <c r="H17" s="15">
        <f>+'Consumo energía AA'!I27</f>
        <v>2.2999999999999998</v>
      </c>
      <c r="I17" s="15">
        <f>+'Consumo energía AA'!J27</f>
        <v>2.7</v>
      </c>
      <c r="J17" s="15">
        <f>+'Consumo energía AA'!K27</f>
        <v>2.7289509999999999</v>
      </c>
      <c r="N17" s="26" t="s">
        <v>46</v>
      </c>
      <c r="O17">
        <v>0.5</v>
      </c>
      <c r="P17">
        <v>0</v>
      </c>
      <c r="Q17">
        <v>0</v>
      </c>
      <c r="R17">
        <v>1.5</v>
      </c>
      <c r="S17">
        <v>2.2000000000000002</v>
      </c>
      <c r="T17">
        <v>2.6</v>
      </c>
      <c r="U17">
        <v>2.2999999999999998</v>
      </c>
      <c r="V17">
        <v>2.7</v>
      </c>
      <c r="W17">
        <v>2.7289509999999999</v>
      </c>
    </row>
    <row r="18" spans="1:23" x14ac:dyDescent="0.25">
      <c r="A18" s="15" t="str">
        <f>+'Consumo energía AA'!B28</f>
        <v>CORPOBOYACA</v>
      </c>
      <c r="B18" s="15">
        <f>+'Consumo energía AA'!C28</f>
        <v>681.1</v>
      </c>
      <c r="C18" s="15">
        <f>+'Consumo energía AA'!D28</f>
        <v>560.5</v>
      </c>
      <c r="D18" s="15">
        <f>+'Consumo energía AA'!E28</f>
        <v>810.9</v>
      </c>
      <c r="E18" s="15">
        <f>+'Consumo energía AA'!F28</f>
        <v>344.6</v>
      </c>
      <c r="F18" s="15">
        <f>+'Consumo energía AA'!G28</f>
        <v>1672.7</v>
      </c>
      <c r="G18" s="15">
        <f>+'Consumo energía AA'!H28</f>
        <v>1023.1</v>
      </c>
      <c r="H18" s="15">
        <f>+'Consumo energía AA'!I28</f>
        <v>721.2</v>
      </c>
      <c r="I18" s="15">
        <f>+'Consumo energía AA'!J28</f>
        <v>843.7</v>
      </c>
      <c r="J18" s="15">
        <f>+'Consumo energía AA'!K28</f>
        <v>937.24113399999999</v>
      </c>
      <c r="N18" s="26" t="s">
        <v>47</v>
      </c>
      <c r="O18">
        <v>681.1</v>
      </c>
      <c r="P18">
        <v>560.5</v>
      </c>
      <c r="Q18">
        <v>810.9</v>
      </c>
      <c r="R18">
        <v>344.6</v>
      </c>
      <c r="S18">
        <v>1672.7</v>
      </c>
      <c r="T18">
        <v>1023.1</v>
      </c>
      <c r="U18">
        <v>721.2</v>
      </c>
      <c r="V18">
        <v>843.7</v>
      </c>
      <c r="W18">
        <v>937.24113399999999</v>
      </c>
    </row>
    <row r="19" spans="1:23" x14ac:dyDescent="0.25">
      <c r="A19" s="15" t="str">
        <f>+'Consumo energía AA'!B29</f>
        <v>CORPOCALDAS</v>
      </c>
      <c r="B19" s="15">
        <f>+'Consumo energía AA'!C29</f>
        <v>300.39999999999998</v>
      </c>
      <c r="C19" s="15">
        <f>+'Consumo energía AA'!D29</f>
        <v>338.7</v>
      </c>
      <c r="D19" s="15">
        <f>+'Consumo energía AA'!E29</f>
        <v>926.7</v>
      </c>
      <c r="E19" s="15">
        <f>+'Consumo energía AA'!F29</f>
        <v>353.8</v>
      </c>
      <c r="F19" s="15">
        <f>+'Consumo energía AA'!G29</f>
        <v>375.4</v>
      </c>
      <c r="G19" s="15">
        <f>+'Consumo energía AA'!H29</f>
        <v>386.9</v>
      </c>
      <c r="H19" s="15">
        <f>+'Consumo energía AA'!I29</f>
        <v>1318.6</v>
      </c>
      <c r="I19" s="15">
        <f>+'Consumo energía AA'!J29</f>
        <v>414.2</v>
      </c>
      <c r="J19" s="15">
        <f>+'Consumo energía AA'!K29</f>
        <v>447.79056500000002</v>
      </c>
      <c r="N19" s="26" t="s">
        <v>48</v>
      </c>
      <c r="O19">
        <v>300.39999999999998</v>
      </c>
      <c r="P19">
        <v>338.7</v>
      </c>
      <c r="Q19">
        <v>926.7</v>
      </c>
      <c r="R19">
        <v>353.8</v>
      </c>
      <c r="S19">
        <v>375.4</v>
      </c>
      <c r="T19">
        <v>386.9</v>
      </c>
      <c r="U19">
        <v>1318.6</v>
      </c>
      <c r="V19">
        <v>414.2</v>
      </c>
      <c r="W19">
        <v>447.79056500000002</v>
      </c>
    </row>
    <row r="20" spans="1:23" x14ac:dyDescent="0.25">
      <c r="A20" s="15" t="str">
        <f>+'Consumo energía AA'!B30</f>
        <v xml:space="preserve">CORPOCESAR </v>
      </c>
      <c r="B20" s="15">
        <f>+'Consumo energía AA'!C30</f>
        <v>33.200000000000003</v>
      </c>
      <c r="C20" s="15">
        <f>+'Consumo energía AA'!D30</f>
        <v>18.5</v>
      </c>
      <c r="D20" s="15">
        <f>+'Consumo energía AA'!E30</f>
        <v>17.899999999999999</v>
      </c>
      <c r="E20" s="15">
        <f>+'Consumo energía AA'!F30</f>
        <v>37.700000000000003</v>
      </c>
      <c r="F20" s="15">
        <f>+'Consumo energía AA'!G30</f>
        <v>34.700000000000003</v>
      </c>
      <c r="G20" s="15">
        <f>+'Consumo energía AA'!H30</f>
        <v>11.4</v>
      </c>
      <c r="H20" s="15">
        <f>+'Consumo energía AA'!I30</f>
        <v>43.8</v>
      </c>
      <c r="I20" s="15">
        <f>+'Consumo energía AA'!J30</f>
        <v>38.299999999999997</v>
      </c>
      <c r="J20" s="15">
        <f>+'Consumo energía AA'!K30</f>
        <v>44.936357000000001</v>
      </c>
      <c r="N20" s="26" t="s">
        <v>49</v>
      </c>
      <c r="O20">
        <v>33.200000000000003</v>
      </c>
      <c r="P20">
        <v>18.5</v>
      </c>
      <c r="Q20">
        <v>17.899999999999999</v>
      </c>
      <c r="R20">
        <v>37.700000000000003</v>
      </c>
      <c r="S20">
        <v>34.700000000000003</v>
      </c>
      <c r="T20">
        <v>11.4</v>
      </c>
      <c r="U20">
        <v>43.8</v>
      </c>
      <c r="V20">
        <v>38.299999999999997</v>
      </c>
      <c r="W20">
        <v>44.936357000000001</v>
      </c>
    </row>
    <row r="21" spans="1:23" x14ac:dyDescent="0.25">
      <c r="A21" s="15" t="str">
        <f>+'Consumo energía AA'!B31</f>
        <v>CORPOCHIVOR</v>
      </c>
      <c r="B21" s="15">
        <f>+'Consumo energía AA'!C31</f>
        <v>0.4</v>
      </c>
      <c r="C21" s="15">
        <f>+'Consumo energía AA'!D31</f>
        <v>0.5</v>
      </c>
      <c r="D21" s="15">
        <f>+'Consumo energía AA'!E31</f>
        <v>0.6</v>
      </c>
      <c r="E21" s="15">
        <f>+'Consumo energía AA'!F31</f>
        <v>0.1</v>
      </c>
      <c r="F21" s="15">
        <f>+'Consumo energía AA'!G31</f>
        <v>0.5</v>
      </c>
      <c r="G21" s="15">
        <f>+'Consumo energía AA'!H31</f>
        <v>0</v>
      </c>
      <c r="H21" s="15">
        <f>+'Consumo energía AA'!I31</f>
        <v>0.4</v>
      </c>
      <c r="I21" s="15">
        <f>+'Consumo energía AA'!J31</f>
        <v>0.3</v>
      </c>
      <c r="J21" s="15">
        <f>+'Consumo energía AA'!K31</f>
        <v>0.50103399999999998</v>
      </c>
      <c r="N21" s="26" t="s">
        <v>50</v>
      </c>
      <c r="O21">
        <v>0.4</v>
      </c>
      <c r="P21">
        <v>0.5</v>
      </c>
      <c r="Q21">
        <v>0.6</v>
      </c>
      <c r="R21">
        <v>0.1</v>
      </c>
      <c r="S21">
        <v>0.5</v>
      </c>
      <c r="T21">
        <v>0</v>
      </c>
      <c r="U21">
        <v>0.4</v>
      </c>
      <c r="V21">
        <v>0.3</v>
      </c>
      <c r="W21">
        <v>0.50103399999999998</v>
      </c>
    </row>
    <row r="22" spans="1:23" x14ac:dyDescent="0.25">
      <c r="A22" s="15" t="str">
        <f>+'Consumo energía AA'!B32</f>
        <v>CORPOGUAJIRA</v>
      </c>
      <c r="B22" s="15">
        <f>+'Consumo energía AA'!C32</f>
        <v>0.6</v>
      </c>
      <c r="C22" s="15">
        <f>+'Consumo energía AA'!D32</f>
        <v>0.8</v>
      </c>
      <c r="D22" s="15">
        <f>+'Consumo energía AA'!E32</f>
        <v>0.8</v>
      </c>
      <c r="E22" s="15">
        <f>+'Consumo energía AA'!F32</f>
        <v>2</v>
      </c>
      <c r="F22" s="15">
        <f>+'Consumo energía AA'!G32</f>
        <v>0.68</v>
      </c>
      <c r="G22" s="15">
        <f>+'Consumo energía AA'!H32</f>
        <v>0.9</v>
      </c>
      <c r="H22" s="15">
        <f>+'Consumo energía AA'!I32</f>
        <v>0.4</v>
      </c>
      <c r="I22" s="15">
        <f>+'Consumo energía AA'!J32</f>
        <v>0.7</v>
      </c>
      <c r="J22" s="15">
        <f>+'Consumo energía AA'!K32</f>
        <v>1.014912</v>
      </c>
      <c r="N22" s="26" t="s">
        <v>51</v>
      </c>
      <c r="O22">
        <v>0.6</v>
      </c>
      <c r="P22">
        <v>0.8</v>
      </c>
      <c r="Q22">
        <v>0.8</v>
      </c>
      <c r="R22">
        <v>2</v>
      </c>
      <c r="S22">
        <v>0.68</v>
      </c>
      <c r="T22">
        <v>0.9</v>
      </c>
      <c r="U22">
        <v>0.4</v>
      </c>
      <c r="V22">
        <v>0.7</v>
      </c>
      <c r="W22">
        <v>1.014912</v>
      </c>
    </row>
    <row r="23" spans="1:23" x14ac:dyDescent="0.25">
      <c r="A23" s="15" t="str">
        <f>+'Consumo energía AA'!B33</f>
        <v>CORPOGUAVIO</v>
      </c>
      <c r="B23" s="15">
        <f>+'Consumo energía AA'!C33</f>
        <v>0</v>
      </c>
      <c r="C23" s="15">
        <f>+'Consumo energía AA'!D33</f>
        <v>0</v>
      </c>
      <c r="D23" s="15">
        <f>+'Consumo energía AA'!E33</f>
        <v>0</v>
      </c>
      <c r="E23" s="15">
        <f>+'Consumo energía AA'!F33</f>
        <v>0</v>
      </c>
      <c r="F23" s="15">
        <f>+'Consumo energía AA'!G33</f>
        <v>0</v>
      </c>
      <c r="G23" s="15">
        <f>+'Consumo energía AA'!H33</f>
        <v>0</v>
      </c>
      <c r="H23" s="15">
        <f>+'Consumo energía AA'!I33</f>
        <v>0</v>
      </c>
      <c r="I23" s="15">
        <f>+'Consumo energía AA'!J33</f>
        <v>0.2</v>
      </c>
      <c r="J23" s="15">
        <f>+'Consumo energía AA'!K33</f>
        <v>0.20380499999999999</v>
      </c>
      <c r="N23" s="26" t="s">
        <v>52</v>
      </c>
      <c r="O23">
        <v>0</v>
      </c>
      <c r="P23">
        <v>0</v>
      </c>
      <c r="Q23">
        <v>0</v>
      </c>
      <c r="R23">
        <v>0</v>
      </c>
      <c r="S23">
        <v>0</v>
      </c>
      <c r="T23">
        <v>0</v>
      </c>
      <c r="U23">
        <v>0</v>
      </c>
      <c r="V23">
        <v>0.2</v>
      </c>
      <c r="W23">
        <v>0.20380499999999999</v>
      </c>
    </row>
    <row r="24" spans="1:23" x14ac:dyDescent="0.25">
      <c r="A24" s="15" t="str">
        <f>+'Consumo energía AA'!B34</f>
        <v>CORPOMOJANA</v>
      </c>
      <c r="B24" s="15">
        <f>+'Consumo energía AA'!C34</f>
        <v>0</v>
      </c>
      <c r="C24" s="15">
        <f>+'Consumo energía AA'!D34</f>
        <v>0</v>
      </c>
      <c r="D24" s="15">
        <f>+'Consumo energía AA'!E34</f>
        <v>0</v>
      </c>
      <c r="E24" s="15">
        <f>+'Consumo energía AA'!F34</f>
        <v>0</v>
      </c>
      <c r="F24" s="15">
        <f>+'Consumo energía AA'!G34</f>
        <v>0</v>
      </c>
      <c r="G24" s="15">
        <f>+'Consumo energía AA'!H34</f>
        <v>0</v>
      </c>
      <c r="H24" s="15">
        <f>+'Consumo energía AA'!I34</f>
        <v>0</v>
      </c>
      <c r="I24" s="15">
        <f>+'Consumo energía AA'!J34</f>
        <v>0</v>
      </c>
      <c r="J24" s="15">
        <f>+'Consumo energía AA'!K34</f>
        <v>0</v>
      </c>
      <c r="N24" s="26" t="s">
        <v>53</v>
      </c>
      <c r="O24">
        <v>0</v>
      </c>
      <c r="P24">
        <v>0</v>
      </c>
      <c r="Q24">
        <v>0</v>
      </c>
      <c r="R24">
        <v>0</v>
      </c>
      <c r="S24">
        <v>0</v>
      </c>
      <c r="T24">
        <v>0</v>
      </c>
      <c r="U24">
        <v>0</v>
      </c>
      <c r="V24">
        <v>0</v>
      </c>
      <c r="W24">
        <v>0</v>
      </c>
    </row>
    <row r="25" spans="1:23" x14ac:dyDescent="0.25">
      <c r="A25" s="15" t="str">
        <f>+'Consumo energía AA'!B35</f>
        <v>CORPONARIÑO</v>
      </c>
      <c r="B25" s="15">
        <f>+'Consumo energía AA'!C35</f>
        <v>1.9</v>
      </c>
      <c r="C25" s="15">
        <f>+'Consumo energía AA'!D35</f>
        <v>3.2</v>
      </c>
      <c r="D25" s="15">
        <f>+'Consumo energía AA'!E35</f>
        <v>5.3</v>
      </c>
      <c r="E25" s="15">
        <f>+'Consumo energía AA'!F35</f>
        <v>12.5</v>
      </c>
      <c r="F25" s="15">
        <f>+'Consumo energía AA'!G35</f>
        <v>45</v>
      </c>
      <c r="G25" s="15">
        <f>+'Consumo energía AA'!H35</f>
        <v>48.9</v>
      </c>
      <c r="H25" s="15">
        <f>+'Consumo energía AA'!I35</f>
        <v>8.5</v>
      </c>
      <c r="I25" s="15">
        <f>+'Consumo energía AA'!J35</f>
        <v>11.4</v>
      </c>
      <c r="J25" s="15">
        <f>+'Consumo energía AA'!K35</f>
        <v>9.6800219999999992</v>
      </c>
      <c r="N25" s="26" t="s">
        <v>54</v>
      </c>
      <c r="O25">
        <v>1.9</v>
      </c>
      <c r="P25">
        <v>3.2</v>
      </c>
      <c r="Q25">
        <v>5.3</v>
      </c>
      <c r="R25">
        <v>12.5</v>
      </c>
      <c r="S25">
        <v>45</v>
      </c>
      <c r="T25">
        <v>48.9</v>
      </c>
      <c r="U25">
        <v>8.5</v>
      </c>
      <c r="V25">
        <v>11.4</v>
      </c>
      <c r="W25">
        <v>9.6800219999999992</v>
      </c>
    </row>
    <row r="26" spans="1:23" x14ac:dyDescent="0.25">
      <c r="A26" s="15" t="str">
        <f>+'Consumo energía AA'!B36</f>
        <v>CORPONOR</v>
      </c>
      <c r="B26" s="15">
        <f>+'Consumo energía AA'!C36</f>
        <v>48.1</v>
      </c>
      <c r="C26" s="15">
        <f>+'Consumo energía AA'!D36</f>
        <v>45.5</v>
      </c>
      <c r="D26" s="15">
        <f>+'Consumo energía AA'!E36</f>
        <v>42</v>
      </c>
      <c r="E26" s="15">
        <f>+'Consumo energía AA'!F36</f>
        <v>68.3</v>
      </c>
      <c r="F26" s="15">
        <f>+'Consumo energía AA'!G36</f>
        <v>506.4</v>
      </c>
      <c r="G26" s="15">
        <f>+'Consumo energía AA'!H36</f>
        <v>513.6</v>
      </c>
      <c r="H26" s="15">
        <f>+'Consumo energía AA'!I36</f>
        <v>58.1</v>
      </c>
      <c r="I26" s="15">
        <f>+'Consumo energía AA'!J36</f>
        <v>42.3</v>
      </c>
      <c r="J26" s="15">
        <f>+'Consumo energía AA'!K36</f>
        <v>40.111448000000003</v>
      </c>
      <c r="N26" s="26" t="s">
        <v>55</v>
      </c>
      <c r="O26">
        <v>48.1</v>
      </c>
      <c r="P26">
        <v>45.5</v>
      </c>
      <c r="Q26">
        <v>42</v>
      </c>
      <c r="R26">
        <v>68.3</v>
      </c>
      <c r="S26">
        <v>506.4</v>
      </c>
      <c r="T26">
        <v>513.6</v>
      </c>
      <c r="U26">
        <v>58.1</v>
      </c>
      <c r="V26">
        <v>42.3</v>
      </c>
      <c r="W26">
        <v>40.111448000000003</v>
      </c>
    </row>
    <row r="27" spans="1:23" x14ac:dyDescent="0.25">
      <c r="A27" s="15" t="str">
        <f>+'Consumo energía AA'!B37</f>
        <v>CORPORINOQUIA</v>
      </c>
      <c r="B27" s="15">
        <f>+'Consumo energía AA'!C37</f>
        <v>6.7</v>
      </c>
      <c r="C27" s="15">
        <f>+'Consumo energía AA'!D37</f>
        <v>10.199999999999999</v>
      </c>
      <c r="D27" s="15">
        <f>+'Consumo energía AA'!E37</f>
        <v>9.5</v>
      </c>
      <c r="E27" s="15">
        <f>+'Consumo energía AA'!F37</f>
        <v>28.4</v>
      </c>
      <c r="F27" s="15">
        <f>+'Consumo energía AA'!G37</f>
        <v>34</v>
      </c>
      <c r="G27" s="15">
        <f>+'Consumo energía AA'!H37</f>
        <v>247</v>
      </c>
      <c r="H27" s="15">
        <f>+'Consumo energía AA'!I37</f>
        <v>55.6</v>
      </c>
      <c r="I27" s="15">
        <f>+'Consumo energía AA'!J37</f>
        <v>45.6</v>
      </c>
      <c r="J27" s="15">
        <f>+'Consumo energía AA'!K37</f>
        <v>60.058135</v>
      </c>
      <c r="N27" s="26" t="s">
        <v>56</v>
      </c>
      <c r="O27">
        <v>6.7</v>
      </c>
      <c r="P27">
        <v>10.199999999999999</v>
      </c>
      <c r="Q27">
        <v>9.5</v>
      </c>
      <c r="R27">
        <v>28.4</v>
      </c>
      <c r="S27">
        <v>34</v>
      </c>
      <c r="T27">
        <v>247</v>
      </c>
      <c r="U27">
        <v>55.6</v>
      </c>
      <c r="V27">
        <v>45.6</v>
      </c>
      <c r="W27">
        <v>60.058135</v>
      </c>
    </row>
    <row r="28" spans="1:23" x14ac:dyDescent="0.25">
      <c r="A28" s="15" t="str">
        <f>+'Consumo energía AA'!B38</f>
        <v>CORPOURABA</v>
      </c>
      <c r="B28" s="15">
        <f>+'Consumo energía AA'!C38</f>
        <v>9</v>
      </c>
      <c r="C28" s="15">
        <f>+'Consumo energía AA'!D38</f>
        <v>12.6</v>
      </c>
      <c r="D28" s="15">
        <f>+'Consumo energía AA'!E38</f>
        <v>292.89999999999998</v>
      </c>
      <c r="E28" s="15">
        <f>+'Consumo energía AA'!F38</f>
        <v>10.6</v>
      </c>
      <c r="F28" s="15">
        <f>+'Consumo energía AA'!G38</f>
        <v>10.199999999999999</v>
      </c>
      <c r="G28" s="15">
        <f>+'Consumo energía AA'!H38</f>
        <v>8.1</v>
      </c>
      <c r="H28" s="15">
        <f>+'Consumo energía AA'!I38</f>
        <v>10.7</v>
      </c>
      <c r="I28" s="15">
        <f>+'Consumo energía AA'!J38</f>
        <v>7.7</v>
      </c>
      <c r="J28" s="15">
        <f>+'Consumo energía AA'!K38</f>
        <v>12.404790999999999</v>
      </c>
      <c r="N28" s="26" t="s">
        <v>57</v>
      </c>
      <c r="O28">
        <v>9</v>
      </c>
      <c r="P28">
        <v>12.6</v>
      </c>
      <c r="Q28">
        <v>292.89999999999998</v>
      </c>
      <c r="R28">
        <v>10.6</v>
      </c>
      <c r="S28">
        <v>10.199999999999999</v>
      </c>
      <c r="T28">
        <v>8.1</v>
      </c>
      <c r="U28">
        <v>10.7</v>
      </c>
      <c r="V28">
        <v>7.7</v>
      </c>
      <c r="W28">
        <v>12.404790999999999</v>
      </c>
    </row>
    <row r="29" spans="1:23" x14ac:dyDescent="0.25">
      <c r="A29" s="15" t="str">
        <f>+'Consumo energía AA'!B39</f>
        <v>CORTOLIMA</v>
      </c>
      <c r="B29" s="15">
        <f>+'Consumo energía AA'!C39</f>
        <v>312.89999999999998</v>
      </c>
      <c r="C29" s="15">
        <f>+'Consumo energía AA'!D39</f>
        <v>37.299999999999997</v>
      </c>
      <c r="D29" s="15">
        <f>+'Consumo energía AA'!E39</f>
        <v>299.89999999999998</v>
      </c>
      <c r="E29" s="15">
        <f>+'Consumo energía AA'!F39</f>
        <v>320.39999999999998</v>
      </c>
      <c r="F29" s="15">
        <f>+'Consumo energía AA'!G39</f>
        <v>290.7</v>
      </c>
      <c r="G29" s="15">
        <f>+'Consumo energía AA'!H39</f>
        <v>313.8</v>
      </c>
      <c r="H29" s="15">
        <f>+'Consumo energía AA'!I39</f>
        <v>85.5</v>
      </c>
      <c r="I29" s="15">
        <f>+'Consumo energía AA'!J39</f>
        <v>3457.4</v>
      </c>
      <c r="J29" s="15">
        <f>+'Consumo energía AA'!K39</f>
        <v>152.54327000000001</v>
      </c>
      <c r="N29" s="26" t="s">
        <v>58</v>
      </c>
      <c r="O29">
        <v>312.89999999999998</v>
      </c>
      <c r="P29">
        <v>37.299999999999997</v>
      </c>
      <c r="Q29">
        <v>299.89999999999998</v>
      </c>
      <c r="R29">
        <v>320.39999999999998</v>
      </c>
      <c r="S29">
        <v>290.7</v>
      </c>
      <c r="T29">
        <v>313.8</v>
      </c>
      <c r="U29">
        <v>85.5</v>
      </c>
      <c r="V29">
        <v>3457.4</v>
      </c>
      <c r="W29">
        <v>152.54327000000001</v>
      </c>
    </row>
    <row r="30" spans="1:23" x14ac:dyDescent="0.25">
      <c r="A30" s="15" t="str">
        <f>+'Consumo energía AA'!B40</f>
        <v>CRA</v>
      </c>
      <c r="B30" s="15">
        <f>+'Consumo energía AA'!C40</f>
        <v>187.2</v>
      </c>
      <c r="C30" s="15">
        <f>+'Consumo energía AA'!D40</f>
        <v>184.2</v>
      </c>
      <c r="D30" s="15">
        <f>+'Consumo energía AA'!E40</f>
        <v>484.6</v>
      </c>
      <c r="E30" s="15">
        <f>+'Consumo energía AA'!F40</f>
        <v>649.9</v>
      </c>
      <c r="F30" s="15">
        <f>+'Consumo energía AA'!G40</f>
        <v>328.2</v>
      </c>
      <c r="G30" s="15">
        <f>+'Consumo energía AA'!H40</f>
        <v>255.3</v>
      </c>
      <c r="H30" s="15">
        <f>+'Consumo energía AA'!I40</f>
        <v>209.8</v>
      </c>
      <c r="I30" s="15">
        <f>+'Consumo energía AA'!J40</f>
        <v>232.5</v>
      </c>
      <c r="J30" s="15">
        <f>+'Consumo energía AA'!K40</f>
        <v>302.91862900000001</v>
      </c>
      <c r="N30" s="26" t="s">
        <v>59</v>
      </c>
      <c r="O30">
        <v>187.2</v>
      </c>
      <c r="P30">
        <v>184.2</v>
      </c>
      <c r="Q30">
        <v>484.6</v>
      </c>
      <c r="R30">
        <v>649.9</v>
      </c>
      <c r="S30">
        <v>328.2</v>
      </c>
      <c r="T30">
        <v>255.3</v>
      </c>
      <c r="U30">
        <v>209.8</v>
      </c>
      <c r="V30">
        <v>232.5</v>
      </c>
      <c r="W30">
        <v>302.91862900000001</v>
      </c>
    </row>
    <row r="31" spans="1:23" x14ac:dyDescent="0.25">
      <c r="A31" s="15" t="str">
        <f>+'Consumo energía AA'!B41</f>
        <v>CRC</v>
      </c>
      <c r="B31" s="15">
        <f>+'Consumo energía AA'!C41</f>
        <v>715.9</v>
      </c>
      <c r="C31" s="15">
        <f>+'Consumo energía AA'!D41</f>
        <v>829</v>
      </c>
      <c r="D31" s="15">
        <f>+'Consumo energía AA'!E41</f>
        <v>692.7</v>
      </c>
      <c r="E31" s="15">
        <f>+'Consumo energía AA'!F41</f>
        <v>571.4</v>
      </c>
      <c r="F31" s="15">
        <f>+'Consumo energía AA'!G41</f>
        <v>877.3</v>
      </c>
      <c r="G31" s="15">
        <f>+'Consumo energía AA'!H41</f>
        <v>735.1</v>
      </c>
      <c r="H31" s="15">
        <f>+'Consumo energía AA'!I41</f>
        <v>672.4</v>
      </c>
      <c r="I31" s="15">
        <f>+'Consumo energía AA'!J41</f>
        <v>715.6</v>
      </c>
      <c r="J31" s="15">
        <f>+'Consumo energía AA'!K41</f>
        <v>735.04765599999996</v>
      </c>
      <c r="N31" s="26" t="s">
        <v>60</v>
      </c>
      <c r="O31">
        <v>715.9</v>
      </c>
      <c r="P31">
        <v>829</v>
      </c>
      <c r="Q31">
        <v>692.7</v>
      </c>
      <c r="R31">
        <v>571.4</v>
      </c>
      <c r="S31">
        <v>877.3</v>
      </c>
      <c r="T31">
        <v>735.1</v>
      </c>
      <c r="U31">
        <v>672.4</v>
      </c>
      <c r="V31">
        <v>715.6</v>
      </c>
      <c r="W31">
        <v>735.04765599999996</v>
      </c>
    </row>
    <row r="32" spans="1:23" x14ac:dyDescent="0.25">
      <c r="A32" s="15" t="str">
        <f>+'Consumo energía AA'!B42</f>
        <v>CRQ</v>
      </c>
      <c r="B32" s="15">
        <f>+'Consumo energía AA'!C42</f>
        <v>23.2</v>
      </c>
      <c r="C32" s="15">
        <f>+'Consumo energía AA'!D42</f>
        <v>503.5</v>
      </c>
      <c r="D32" s="15">
        <f>+'Consumo energía AA'!E42</f>
        <v>21.6</v>
      </c>
      <c r="E32" s="15">
        <f>+'Consumo energía AA'!F42</f>
        <v>26.3</v>
      </c>
      <c r="F32" s="15">
        <f>+'Consumo energía AA'!G42</f>
        <v>28.8</v>
      </c>
      <c r="G32" s="15">
        <f>+'Consumo energía AA'!H42</f>
        <v>25.8</v>
      </c>
      <c r="H32" s="15">
        <f>+'Consumo energía AA'!I42</f>
        <v>34.299999999999997</v>
      </c>
      <c r="I32" s="15">
        <f>+'Consumo energía AA'!J42</f>
        <v>27.7</v>
      </c>
      <c r="J32" s="15">
        <f>+'Consumo energía AA'!K42</f>
        <v>29.680016999999999</v>
      </c>
      <c r="N32" s="26" t="s">
        <v>61</v>
      </c>
      <c r="O32">
        <v>23.2</v>
      </c>
      <c r="P32">
        <v>503.5</v>
      </c>
      <c r="Q32">
        <v>21.6</v>
      </c>
      <c r="R32">
        <v>26.3</v>
      </c>
      <c r="S32">
        <v>28.8</v>
      </c>
      <c r="T32">
        <v>25.8</v>
      </c>
      <c r="U32">
        <v>34.299999999999997</v>
      </c>
      <c r="V32">
        <v>27.7</v>
      </c>
      <c r="W32">
        <v>29.680016999999999</v>
      </c>
    </row>
    <row r="33" spans="1:23" x14ac:dyDescent="0.25">
      <c r="A33" s="15" t="str">
        <f>+'Consumo energía AA'!B43</f>
        <v>CSB</v>
      </c>
      <c r="B33" s="15">
        <f>+'Consumo energía AA'!C43</f>
        <v>0</v>
      </c>
      <c r="C33" s="15">
        <f>+'Consumo energía AA'!D43</f>
        <v>0</v>
      </c>
      <c r="D33" s="15">
        <f>+'Consumo energía AA'!E43</f>
        <v>0</v>
      </c>
      <c r="E33" s="15">
        <f>+'Consumo energía AA'!F43</f>
        <v>0</v>
      </c>
      <c r="F33" s="15">
        <f>+'Consumo energía AA'!G43</f>
        <v>0</v>
      </c>
      <c r="G33" s="15">
        <f>+'Consumo energía AA'!H43</f>
        <v>0</v>
      </c>
      <c r="H33" s="15">
        <f>+'Consumo energía AA'!I43</f>
        <v>2.1</v>
      </c>
      <c r="I33" s="15">
        <f>+'Consumo energía AA'!J43</f>
        <v>0.3</v>
      </c>
      <c r="J33" s="15">
        <f>+'Consumo energía AA'!K43</f>
        <v>0.23519399999999999</v>
      </c>
      <c r="N33" s="26" t="s">
        <v>62</v>
      </c>
      <c r="O33">
        <v>0</v>
      </c>
      <c r="P33">
        <v>0</v>
      </c>
      <c r="Q33">
        <v>0</v>
      </c>
      <c r="R33">
        <v>0</v>
      </c>
      <c r="S33">
        <v>0</v>
      </c>
      <c r="T33">
        <v>0</v>
      </c>
      <c r="U33">
        <v>2.1</v>
      </c>
      <c r="V33">
        <v>0.3</v>
      </c>
      <c r="W33">
        <v>0.23519399999999999</v>
      </c>
    </row>
    <row r="34" spans="1:23" x14ac:dyDescent="0.25">
      <c r="A34" s="15" t="str">
        <f>+'Consumo energía AA'!B44</f>
        <v>CVC</v>
      </c>
      <c r="B34" s="15">
        <f>+'Consumo energía AA'!C44</f>
        <v>9268.7999999999993</v>
      </c>
      <c r="C34" s="15">
        <f>+'Consumo energía AA'!D44</f>
        <v>4177.2</v>
      </c>
      <c r="D34" s="15">
        <f>+'Consumo energía AA'!E44</f>
        <v>3187.4</v>
      </c>
      <c r="E34" s="15">
        <f>+'Consumo energía AA'!F44</f>
        <v>2214.6</v>
      </c>
      <c r="F34" s="15">
        <f>+'Consumo energía AA'!G44</f>
        <v>2159.8000000000002</v>
      </c>
      <c r="G34" s="15">
        <f>+'Consumo energía AA'!H44</f>
        <v>2292.1999999999998</v>
      </c>
      <c r="H34" s="15">
        <f>+'Consumo energía AA'!I44</f>
        <v>1935.7</v>
      </c>
      <c r="I34" s="15">
        <f>+'Consumo energía AA'!J44</f>
        <v>2552.6</v>
      </c>
      <c r="J34" s="15">
        <f>+'Consumo energía AA'!K44</f>
        <v>2641.056638</v>
      </c>
      <c r="N34" s="26" t="s">
        <v>63</v>
      </c>
      <c r="O34">
        <v>9268.7999999999993</v>
      </c>
      <c r="P34">
        <v>4177.2</v>
      </c>
      <c r="Q34">
        <v>3187.4</v>
      </c>
      <c r="R34">
        <v>2214.6</v>
      </c>
      <c r="S34">
        <v>2159.8000000000002</v>
      </c>
      <c r="T34">
        <v>2292.1999999999998</v>
      </c>
      <c r="U34">
        <v>1935.7</v>
      </c>
      <c r="V34">
        <v>2552.6</v>
      </c>
      <c r="W34">
        <v>2641.056638</v>
      </c>
    </row>
    <row r="35" spans="1:23" x14ac:dyDescent="0.25">
      <c r="A35" s="15" t="str">
        <f>+'Consumo energía AA'!B45</f>
        <v>CVS</v>
      </c>
      <c r="B35" s="15">
        <f>+'Consumo energía AA'!C45</f>
        <v>17.7</v>
      </c>
      <c r="C35" s="15">
        <f>+'Consumo energía AA'!D45</f>
        <v>22.6</v>
      </c>
      <c r="D35" s="15">
        <f>+'Consumo energía AA'!E45</f>
        <v>13.8</v>
      </c>
      <c r="E35" s="15">
        <f>+'Consumo energía AA'!F45</f>
        <v>24.9</v>
      </c>
      <c r="F35" s="15">
        <f>+'Consumo energía AA'!G45</f>
        <v>28.6</v>
      </c>
      <c r="G35" s="15">
        <f>+'Consumo energía AA'!H45</f>
        <v>27</v>
      </c>
      <c r="H35" s="15">
        <f>+'Consumo energía AA'!I45</f>
        <v>36.9</v>
      </c>
      <c r="I35" s="15">
        <f>+'Consumo energía AA'!J45</f>
        <v>26.1</v>
      </c>
      <c r="J35" s="15">
        <f>+'Consumo energía AA'!K45</f>
        <v>41.575760000000002</v>
      </c>
      <c r="N35" s="26" t="s">
        <v>64</v>
      </c>
      <c r="O35">
        <v>17.7</v>
      </c>
      <c r="P35">
        <v>22.6</v>
      </c>
      <c r="Q35">
        <v>13.8</v>
      </c>
      <c r="R35">
        <v>24.9</v>
      </c>
      <c r="S35">
        <v>28.6</v>
      </c>
      <c r="T35">
        <v>27</v>
      </c>
      <c r="U35">
        <v>36.9</v>
      </c>
      <c r="V35">
        <v>26.1</v>
      </c>
      <c r="W35">
        <v>41.575760000000002</v>
      </c>
    </row>
    <row r="36" spans="1:23" x14ac:dyDescent="0.25">
      <c r="A36" s="15" t="str">
        <f>+'Consumo energía AA'!B46</f>
        <v>DADSA</v>
      </c>
      <c r="B36" s="15">
        <f>+'Consumo energía AA'!C46</f>
        <v>22.6</v>
      </c>
      <c r="C36" s="15">
        <f>+'Consumo energía AA'!D46</f>
        <v>34.9</v>
      </c>
      <c r="D36" s="15">
        <f>+'Consumo energía AA'!E46</f>
        <v>36.1</v>
      </c>
      <c r="E36" s="15">
        <f>+'Consumo energía AA'!F46</f>
        <v>37.9</v>
      </c>
      <c r="F36" s="15">
        <f>+'Consumo energía AA'!G46</f>
        <v>37.4</v>
      </c>
      <c r="G36" s="15">
        <f>+'Consumo energía AA'!H46</f>
        <v>10.4</v>
      </c>
      <c r="H36" s="15">
        <f>+'Consumo energía AA'!I46</f>
        <v>11</v>
      </c>
      <c r="I36" s="15">
        <f>+'Consumo energía AA'!J46</f>
        <v>10.5</v>
      </c>
      <c r="J36" s="15">
        <f>+'Consumo energía AA'!K46</f>
        <v>12.778783000000001</v>
      </c>
      <c r="N36" s="26" t="s">
        <v>65</v>
      </c>
      <c r="O36">
        <v>22.6</v>
      </c>
      <c r="P36">
        <v>34.9</v>
      </c>
      <c r="Q36">
        <v>36.1</v>
      </c>
      <c r="R36">
        <v>37.9</v>
      </c>
      <c r="S36">
        <v>37.4</v>
      </c>
      <c r="T36">
        <v>10.4</v>
      </c>
      <c r="U36">
        <v>11</v>
      </c>
      <c r="V36">
        <v>10.5</v>
      </c>
      <c r="W36">
        <v>12.778783000000001</v>
      </c>
    </row>
    <row r="37" spans="1:23" x14ac:dyDescent="0.25">
      <c r="A37" s="15" t="str">
        <f>+'Consumo energía AA'!B47</f>
        <v>DAGMA</v>
      </c>
      <c r="B37" s="15">
        <f>+'Consumo energía AA'!C47</f>
        <v>314.5</v>
      </c>
      <c r="C37" s="15">
        <f>+'Consumo energía AA'!D47</f>
        <v>235.7</v>
      </c>
      <c r="D37" s="15">
        <f>+'Consumo energía AA'!E47</f>
        <v>413.2</v>
      </c>
      <c r="E37" s="15">
        <f>+'Consumo energía AA'!F47</f>
        <v>333.4</v>
      </c>
      <c r="F37" s="15">
        <f>+'Consumo energía AA'!G47</f>
        <v>284.39999999999998</v>
      </c>
      <c r="G37" s="15">
        <f>+'Consumo energía AA'!H47</f>
        <v>296.5</v>
      </c>
      <c r="H37" s="15">
        <f>+'Consumo energía AA'!I47</f>
        <v>277.8</v>
      </c>
      <c r="I37" s="15">
        <f>+'Consumo energía AA'!J47</f>
        <v>305</v>
      </c>
      <c r="J37" s="15">
        <f>+'Consumo energía AA'!K47</f>
        <v>378.85313100000002</v>
      </c>
      <c r="N37" s="26" t="s">
        <v>66</v>
      </c>
      <c r="O37">
        <v>314.5</v>
      </c>
      <c r="P37">
        <v>235.7</v>
      </c>
      <c r="Q37">
        <v>413.2</v>
      </c>
      <c r="R37">
        <v>333.4</v>
      </c>
      <c r="S37">
        <v>284.39999999999998</v>
      </c>
      <c r="T37">
        <v>296.5</v>
      </c>
      <c r="U37">
        <v>277.8</v>
      </c>
      <c r="V37">
        <v>305</v>
      </c>
      <c r="W37">
        <v>378.85313100000002</v>
      </c>
    </row>
    <row r="38" spans="1:23" x14ac:dyDescent="0.25">
      <c r="A38" s="15" t="str">
        <f>+'Consumo energía AA'!B48</f>
        <v>EPA CARTAGENA</v>
      </c>
      <c r="B38" s="15">
        <f>+'Consumo energía AA'!C48</f>
        <v>597.29999999999995</v>
      </c>
      <c r="C38" s="15">
        <f>+'Consumo energía AA'!D48</f>
        <v>884.7</v>
      </c>
      <c r="D38" s="15">
        <f>+'Consumo energía AA'!E48</f>
        <v>730.3</v>
      </c>
      <c r="E38" s="15">
        <f>+'Consumo energía AA'!F48</f>
        <v>925.4</v>
      </c>
      <c r="F38" s="15">
        <f>+'Consumo energía AA'!G48</f>
        <v>1330.9</v>
      </c>
      <c r="G38" s="15">
        <f>+'Consumo energía AA'!H48</f>
        <v>1048.5</v>
      </c>
      <c r="H38" s="15">
        <f>+'Consumo energía AA'!I48</f>
        <v>1071</v>
      </c>
      <c r="I38" s="15">
        <f>+'Consumo energía AA'!J48</f>
        <v>1163.2</v>
      </c>
      <c r="J38" s="15">
        <f>+'Consumo energía AA'!K48</f>
        <v>1184.125045</v>
      </c>
      <c r="N38" s="26" t="s">
        <v>69</v>
      </c>
      <c r="O38">
        <v>446.3</v>
      </c>
      <c r="P38">
        <v>382.9</v>
      </c>
      <c r="Q38">
        <v>279.7</v>
      </c>
      <c r="R38">
        <v>458.9</v>
      </c>
      <c r="S38">
        <v>543.5</v>
      </c>
      <c r="T38">
        <v>405.8</v>
      </c>
      <c r="U38">
        <v>452.8</v>
      </c>
      <c r="V38">
        <v>1586.6</v>
      </c>
      <c r="W38">
        <v>622.56066099999998</v>
      </c>
    </row>
    <row r="39" spans="1:23" x14ac:dyDescent="0.25">
      <c r="A39" s="15" t="str">
        <f>+'Consumo energía AA'!B49</f>
        <v>EPA BUENAVENTURA</v>
      </c>
      <c r="B39" s="15">
        <f>+'Consumo energía AA'!C49</f>
        <v>0.8</v>
      </c>
      <c r="C39" s="15">
        <f>+'Consumo energía AA'!D49</f>
        <v>0.8</v>
      </c>
      <c r="D39" s="15">
        <f>+'Consumo energía AA'!E49</f>
        <v>0.7</v>
      </c>
      <c r="E39" s="15">
        <f>+'Consumo energía AA'!F49</f>
        <v>0.6</v>
      </c>
      <c r="F39" s="15">
        <f>+'Consumo energía AA'!G49</f>
        <v>0.7</v>
      </c>
      <c r="G39" s="15">
        <f>+'Consumo energía AA'!H49</f>
        <v>0.7</v>
      </c>
      <c r="H39" s="15">
        <f>+'Consumo energía AA'!I49</f>
        <v>0.7</v>
      </c>
      <c r="I39" s="15">
        <f>+'Consumo energía AA'!J49</f>
        <v>0.6</v>
      </c>
      <c r="J39" s="15">
        <f>+'Consumo energía AA'!K49</f>
        <v>0.41020800000000002</v>
      </c>
      <c r="N39" s="26" t="s">
        <v>68</v>
      </c>
      <c r="O39">
        <v>0.8</v>
      </c>
      <c r="P39">
        <v>0.8</v>
      </c>
      <c r="Q39">
        <v>0.7</v>
      </c>
      <c r="R39">
        <v>0.6</v>
      </c>
      <c r="S39">
        <v>0.7</v>
      </c>
      <c r="T39">
        <v>0.7</v>
      </c>
      <c r="U39">
        <v>0.7</v>
      </c>
      <c r="V39">
        <v>0.6</v>
      </c>
      <c r="W39">
        <v>0.41020800000000002</v>
      </c>
    </row>
    <row r="40" spans="1:23" x14ac:dyDescent="0.25">
      <c r="A40" s="15" t="str">
        <f>+'Consumo energía AA'!B50</f>
        <v>EPA BARRANQUILLA</v>
      </c>
      <c r="B40" s="15">
        <f>+'Consumo energía AA'!C50</f>
        <v>446.3</v>
      </c>
      <c r="C40" s="15">
        <f>+'Consumo energía AA'!D50</f>
        <v>382.9</v>
      </c>
      <c r="D40" s="15">
        <f>+'Consumo energía AA'!E50</f>
        <v>279.7</v>
      </c>
      <c r="E40" s="15">
        <f>+'Consumo energía AA'!F50</f>
        <v>458.9</v>
      </c>
      <c r="F40" s="15">
        <f>+'Consumo energía AA'!G50</f>
        <v>543.5</v>
      </c>
      <c r="G40" s="15">
        <f>+'Consumo energía AA'!H50</f>
        <v>405.8</v>
      </c>
      <c r="H40" s="15">
        <f>+'Consumo energía AA'!I50</f>
        <v>452.8</v>
      </c>
      <c r="I40" s="15">
        <f>+'Consumo energía AA'!J50</f>
        <v>1586.6</v>
      </c>
      <c r="J40" s="15">
        <f>+'Consumo energía AA'!K50</f>
        <v>622.56066099999998</v>
      </c>
      <c r="N40" s="26" t="s">
        <v>67</v>
      </c>
      <c r="O40">
        <v>597.29999999999995</v>
      </c>
      <c r="P40">
        <v>884.7</v>
      </c>
      <c r="Q40">
        <v>730.3</v>
      </c>
      <c r="R40">
        <v>925.4</v>
      </c>
      <c r="S40">
        <v>1330.9</v>
      </c>
      <c r="T40">
        <v>1048.5</v>
      </c>
      <c r="U40">
        <v>1071</v>
      </c>
      <c r="V40">
        <v>1163.2</v>
      </c>
      <c r="W40">
        <v>1184.125045</v>
      </c>
    </row>
    <row r="41" spans="1:23" x14ac:dyDescent="0.25">
      <c r="A41" s="15" t="str">
        <f>+'Consumo energía AA'!B51</f>
        <v>SDA</v>
      </c>
      <c r="B41" s="15">
        <f>+'Consumo energía AA'!C51</f>
        <v>2820.9</v>
      </c>
      <c r="C41" s="15">
        <f>+'Consumo energía AA'!D51</f>
        <v>945.3</v>
      </c>
      <c r="D41" s="15">
        <f>+'Consumo energía AA'!E51</f>
        <v>1477.9</v>
      </c>
      <c r="E41" s="15">
        <f>+'Consumo energía AA'!F51</f>
        <v>847.1</v>
      </c>
      <c r="F41" s="15">
        <f>+'Consumo energía AA'!G51</f>
        <v>878.2</v>
      </c>
      <c r="G41" s="15">
        <f>+'Consumo energía AA'!H51</f>
        <v>931.5</v>
      </c>
      <c r="H41" s="15">
        <f>+'Consumo energía AA'!I51</f>
        <v>776.9</v>
      </c>
      <c r="I41" s="15">
        <f>+'Consumo energía AA'!J51</f>
        <v>812.2</v>
      </c>
      <c r="J41" s="15">
        <f>+'Consumo energía AA'!K51</f>
        <v>840.53187300000002</v>
      </c>
      <c r="N41" s="26" t="s">
        <v>70</v>
      </c>
      <c r="O41">
        <v>2820.9</v>
      </c>
      <c r="P41">
        <v>945.3</v>
      </c>
      <c r="Q41">
        <v>1477.9</v>
      </c>
      <c r="R41">
        <v>847.1</v>
      </c>
      <c r="S41">
        <v>878.2</v>
      </c>
      <c r="T41">
        <v>931.5</v>
      </c>
      <c r="U41">
        <v>776.9</v>
      </c>
      <c r="V41">
        <v>812.2</v>
      </c>
      <c r="W41">
        <v>840.53187300000002</v>
      </c>
    </row>
    <row r="42" spans="1:23" x14ac:dyDescent="0.25">
      <c r="N42" s="26" t="s">
        <v>217</v>
      </c>
      <c r="O42">
        <v>22938</v>
      </c>
      <c r="P42">
        <v>13832.3</v>
      </c>
      <c r="Q42">
        <v>13476.6</v>
      </c>
      <c r="R42">
        <v>12892.8</v>
      </c>
      <c r="S42">
        <v>15208.800000000003</v>
      </c>
      <c r="T42">
        <v>13156.800000000001</v>
      </c>
      <c r="U42">
        <v>13087.9</v>
      </c>
      <c r="V42">
        <v>17422.300507</v>
      </c>
      <c r="W42">
        <v>14326.332455999998</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57"/>
  <sheetViews>
    <sheetView showGridLines="0" zoomScale="90" zoomScaleNormal="90" workbookViewId="0"/>
  </sheetViews>
  <sheetFormatPr baseColWidth="10" defaultRowHeight="15" x14ac:dyDescent="0.25"/>
  <cols>
    <col min="1" max="1" width="5" customWidth="1"/>
    <col min="2" max="2" width="70.7109375" customWidth="1"/>
    <col min="3" max="8" width="13.5703125" style="18" customWidth="1"/>
    <col min="9" max="11" width="13.5703125" customWidth="1"/>
    <col min="14" max="14" width="11.85546875" bestFit="1" customWidth="1"/>
  </cols>
  <sheetData>
    <row r="1" spans="2:11" ht="32.25" customHeight="1" x14ac:dyDescent="0.25"/>
    <row r="8" spans="2:11" ht="36.75" customHeight="1" x14ac:dyDescent="0.25">
      <c r="B8" s="74" t="s">
        <v>243</v>
      </c>
      <c r="C8" s="74"/>
      <c r="D8" s="74"/>
      <c r="E8" s="74"/>
      <c r="F8" s="74"/>
      <c r="G8" s="74"/>
      <c r="H8" s="74"/>
      <c r="I8" s="74"/>
      <c r="J8" s="74"/>
      <c r="K8" s="74"/>
    </row>
    <row r="9" spans="2:11" ht="15.75" thickBot="1" x14ac:dyDescent="0.3"/>
    <row r="10" spans="2:11" ht="22.5" customHeight="1" x14ac:dyDescent="0.25">
      <c r="B10" s="71" t="s">
        <v>253</v>
      </c>
      <c r="C10" s="19">
        <v>2014</v>
      </c>
      <c r="D10" s="19">
        <v>2015</v>
      </c>
      <c r="E10" s="19">
        <v>2016</v>
      </c>
      <c r="F10" s="19">
        <v>2017</v>
      </c>
      <c r="G10" s="19">
        <v>2018</v>
      </c>
      <c r="H10" s="20">
        <v>2019</v>
      </c>
      <c r="I10" s="14">
        <v>2020</v>
      </c>
      <c r="J10" s="14">
        <v>2021</v>
      </c>
      <c r="K10" s="14">
        <v>2022</v>
      </c>
    </row>
    <row r="11" spans="2:11" ht="22.5" customHeight="1" x14ac:dyDescent="0.25">
      <c r="B11" s="72"/>
      <c r="C11" s="73" t="s">
        <v>74</v>
      </c>
      <c r="D11" s="73"/>
      <c r="E11" s="73"/>
      <c r="F11" s="73"/>
      <c r="G11" s="73"/>
      <c r="H11" s="73"/>
      <c r="I11" s="73"/>
      <c r="J11" s="73"/>
      <c r="K11" s="73"/>
    </row>
    <row r="12" spans="2:11" x14ac:dyDescent="0.25">
      <c r="B12" s="49" t="s">
        <v>79</v>
      </c>
      <c r="C12" s="42">
        <v>2718.6491001430036</v>
      </c>
      <c r="D12" s="42">
        <v>452.23588999099996</v>
      </c>
      <c r="E12" s="42">
        <v>217.9811957337001</v>
      </c>
      <c r="F12" s="42">
        <v>296.78575799299995</v>
      </c>
      <c r="G12" s="42">
        <v>261.01579645800001</v>
      </c>
      <c r="H12" s="42">
        <v>294.02007510100003</v>
      </c>
      <c r="I12" s="42">
        <v>321.89999999999998</v>
      </c>
      <c r="J12" s="42">
        <v>343.00000000000006</v>
      </c>
      <c r="K12" s="42">
        <v>374.7874599999999</v>
      </c>
    </row>
    <row r="13" spans="2:11" x14ac:dyDescent="0.25">
      <c r="B13" s="49" t="s">
        <v>80</v>
      </c>
      <c r="C13" s="43">
        <v>372.07214400000004</v>
      </c>
      <c r="D13" s="43">
        <v>5.2648859999999997</v>
      </c>
      <c r="E13" s="43">
        <v>2.266740924</v>
      </c>
      <c r="F13" s="43">
        <v>20.523415149999998</v>
      </c>
      <c r="G13" s="43">
        <v>21.435358018000002</v>
      </c>
      <c r="H13" s="43">
        <v>25.064258160999998</v>
      </c>
      <c r="I13" s="43">
        <v>26</v>
      </c>
      <c r="J13" s="43">
        <v>23.500000000000004</v>
      </c>
      <c r="K13" s="42">
        <v>33.224513000000002</v>
      </c>
    </row>
    <row r="14" spans="2:11" x14ac:dyDescent="0.25">
      <c r="B14" s="49" t="s">
        <v>81</v>
      </c>
      <c r="C14" s="43">
        <v>46.548575389999996</v>
      </c>
      <c r="D14" s="43">
        <v>47.884576752000001</v>
      </c>
      <c r="E14" s="43">
        <v>42.621197685999995</v>
      </c>
      <c r="F14" s="43">
        <v>47.385986300000006</v>
      </c>
      <c r="G14" s="43">
        <v>32.510721436000004</v>
      </c>
      <c r="H14" s="43">
        <v>41.508779758246</v>
      </c>
      <c r="I14" s="43">
        <v>55.2</v>
      </c>
      <c r="J14" s="43">
        <v>54.400000000000006</v>
      </c>
      <c r="K14" s="42">
        <v>57.946977999999987</v>
      </c>
    </row>
    <row r="15" spans="2:11" x14ac:dyDescent="0.25">
      <c r="B15" s="49" t="s">
        <v>82</v>
      </c>
      <c r="C15" s="43">
        <v>164.52010064999993</v>
      </c>
      <c r="D15" s="43">
        <v>150.84151094500001</v>
      </c>
      <c r="E15" s="43">
        <v>139.42184333999998</v>
      </c>
      <c r="F15" s="43">
        <v>175.62219633999993</v>
      </c>
      <c r="G15" s="43">
        <v>178.47968648200001</v>
      </c>
      <c r="H15" s="43">
        <v>414.52655787500004</v>
      </c>
      <c r="I15" s="43">
        <v>236.8</v>
      </c>
      <c r="J15" s="43">
        <v>209.09999999999994</v>
      </c>
      <c r="K15" s="42">
        <v>95.819496999999998</v>
      </c>
    </row>
    <row r="16" spans="2:11" x14ac:dyDescent="0.25">
      <c r="B16" s="49" t="s">
        <v>231</v>
      </c>
      <c r="C16" s="43" t="s">
        <v>249</v>
      </c>
      <c r="D16" s="43" t="s">
        <v>249</v>
      </c>
      <c r="E16" s="43" t="s">
        <v>249</v>
      </c>
      <c r="F16" s="43" t="s">
        <v>249</v>
      </c>
      <c r="G16" s="43" t="s">
        <v>249</v>
      </c>
      <c r="H16" s="43" t="s">
        <v>249</v>
      </c>
      <c r="I16" s="43" t="s">
        <v>249</v>
      </c>
      <c r="J16" s="43" t="s">
        <v>249</v>
      </c>
      <c r="K16" s="42">
        <v>65.370609000000002</v>
      </c>
    </row>
    <row r="17" spans="2:11" x14ac:dyDescent="0.25">
      <c r="B17" s="49" t="s">
        <v>232</v>
      </c>
      <c r="C17" s="43" t="s">
        <v>249</v>
      </c>
      <c r="D17" s="43" t="s">
        <v>249</v>
      </c>
      <c r="E17" s="43" t="s">
        <v>249</v>
      </c>
      <c r="F17" s="43" t="s">
        <v>249</v>
      </c>
      <c r="G17" s="43" t="s">
        <v>249</v>
      </c>
      <c r="H17" s="43" t="s">
        <v>249</v>
      </c>
      <c r="I17" s="43" t="s">
        <v>249</v>
      </c>
      <c r="J17" s="43" t="s">
        <v>249</v>
      </c>
      <c r="K17" s="42">
        <v>34.192108999999995</v>
      </c>
    </row>
    <row r="18" spans="2:11" x14ac:dyDescent="0.25">
      <c r="B18" s="49" t="s">
        <v>233</v>
      </c>
      <c r="C18" s="43" t="s">
        <v>249</v>
      </c>
      <c r="D18" s="43" t="s">
        <v>249</v>
      </c>
      <c r="E18" s="43" t="s">
        <v>249</v>
      </c>
      <c r="F18" s="43" t="s">
        <v>249</v>
      </c>
      <c r="G18" s="43" t="s">
        <v>249</v>
      </c>
      <c r="H18" s="43" t="s">
        <v>249</v>
      </c>
      <c r="I18" s="43" t="s">
        <v>249</v>
      </c>
      <c r="J18" s="43" t="s">
        <v>249</v>
      </c>
      <c r="K18" s="42">
        <v>29.308268999999999</v>
      </c>
    </row>
    <row r="19" spans="2:11" x14ac:dyDescent="0.25">
      <c r="B19" s="49" t="s">
        <v>83</v>
      </c>
      <c r="C19" s="43">
        <v>240.73127357000004</v>
      </c>
      <c r="D19" s="43">
        <v>293.96641268500019</v>
      </c>
      <c r="E19" s="43">
        <v>188.49829458099993</v>
      </c>
      <c r="F19" s="43">
        <v>198.63585625325257</v>
      </c>
      <c r="G19" s="43">
        <v>209.36307132899998</v>
      </c>
      <c r="H19" s="43">
        <v>234.00392321699991</v>
      </c>
      <c r="I19" s="43">
        <v>258.8</v>
      </c>
      <c r="J19" s="43">
        <v>237.90000000000009</v>
      </c>
      <c r="K19" s="42">
        <v>221.40848700000009</v>
      </c>
    </row>
    <row r="20" spans="2:11" x14ac:dyDescent="0.25">
      <c r="B20" s="49" t="s">
        <v>84</v>
      </c>
      <c r="C20" s="43">
        <v>195.41273920800003</v>
      </c>
      <c r="D20" s="43">
        <v>155.50584415099999</v>
      </c>
      <c r="E20" s="43">
        <v>142.82458537499994</v>
      </c>
      <c r="F20" s="43">
        <v>182.87982641299996</v>
      </c>
      <c r="G20" s="43">
        <v>197.30905595800002</v>
      </c>
      <c r="H20" s="43">
        <v>231.25195634618001</v>
      </c>
      <c r="I20" s="43">
        <v>250</v>
      </c>
      <c r="J20" s="43">
        <v>3375.7000000000003</v>
      </c>
      <c r="K20" s="42">
        <v>282.40290199999998</v>
      </c>
    </row>
    <row r="21" spans="2:11" x14ac:dyDescent="0.25">
      <c r="B21" s="49" t="s">
        <v>85</v>
      </c>
      <c r="C21" s="43">
        <v>78.221711999999997</v>
      </c>
      <c r="D21" s="43">
        <v>32.791907999999999</v>
      </c>
      <c r="E21" s="43">
        <v>76.413685999999998</v>
      </c>
      <c r="F21" s="43">
        <v>80.202322000000009</v>
      </c>
      <c r="G21" s="43">
        <v>78.976816999999997</v>
      </c>
      <c r="H21" s="43">
        <v>77.819082999999992</v>
      </c>
      <c r="I21" s="43">
        <v>77</v>
      </c>
      <c r="J21" s="43">
        <v>85.9</v>
      </c>
      <c r="K21" s="42">
        <v>80.737408000000002</v>
      </c>
    </row>
    <row r="22" spans="2:11" x14ac:dyDescent="0.25">
      <c r="B22" s="49" t="s">
        <v>86</v>
      </c>
      <c r="C22" s="43">
        <v>6.1864596259999995</v>
      </c>
      <c r="D22" s="43">
        <v>11.555904</v>
      </c>
      <c r="E22" s="43">
        <v>10.87843</v>
      </c>
      <c r="F22" s="43">
        <v>9.4034499999999994</v>
      </c>
      <c r="G22" s="43">
        <v>9.6119304969999995</v>
      </c>
      <c r="H22" s="43">
        <v>10.310832</v>
      </c>
      <c r="I22" s="43">
        <v>13</v>
      </c>
      <c r="J22" s="43">
        <v>12.500000000000004</v>
      </c>
      <c r="K22" s="42">
        <v>13.375575000000003</v>
      </c>
    </row>
    <row r="23" spans="2:11" x14ac:dyDescent="0.25">
      <c r="B23" s="49" t="s">
        <v>87</v>
      </c>
      <c r="C23" s="43">
        <v>25.449327599999997</v>
      </c>
      <c r="D23" s="43">
        <v>25.421652130000002</v>
      </c>
      <c r="E23" s="43">
        <v>22.544649276000001</v>
      </c>
      <c r="F23" s="43">
        <v>23.099776485000003</v>
      </c>
      <c r="G23" s="43">
        <v>23.798216660000001</v>
      </c>
      <c r="H23" s="43">
        <v>24.30625053</v>
      </c>
      <c r="I23" s="43">
        <v>22.9</v>
      </c>
      <c r="J23" s="43">
        <v>27.400000000000002</v>
      </c>
      <c r="K23" s="42">
        <v>32.467584999999993</v>
      </c>
    </row>
    <row r="24" spans="2:11" x14ac:dyDescent="0.25">
      <c r="B24" s="49" t="s">
        <v>88</v>
      </c>
      <c r="C24" s="43">
        <v>35.816196400000003</v>
      </c>
      <c r="D24" s="43">
        <v>67.635078870000001</v>
      </c>
      <c r="E24" s="43">
        <v>74.147508090000002</v>
      </c>
      <c r="F24" s="43">
        <v>77.351326900000004</v>
      </c>
      <c r="G24" s="43">
        <v>84.823982900000004</v>
      </c>
      <c r="H24" s="43">
        <v>88.702330829999994</v>
      </c>
      <c r="I24" s="43">
        <v>84.5</v>
      </c>
      <c r="J24" s="43">
        <v>83.699999999999989</v>
      </c>
      <c r="K24" s="42">
        <v>86.572293999999999</v>
      </c>
    </row>
    <row r="25" spans="2:11" x14ac:dyDescent="0.25">
      <c r="B25" s="49" t="s">
        <v>89</v>
      </c>
      <c r="C25" s="43">
        <v>6281.4973027700016</v>
      </c>
      <c r="D25" s="43">
        <v>898.75116013000002</v>
      </c>
      <c r="E25" s="43">
        <v>1041.3682566</v>
      </c>
      <c r="F25" s="43">
        <v>991.42722900000001</v>
      </c>
      <c r="G25" s="43">
        <v>1332.2415641</v>
      </c>
      <c r="H25" s="43">
        <v>875.6367079900001</v>
      </c>
      <c r="I25" s="43">
        <v>871.2</v>
      </c>
      <c r="J25" s="43">
        <v>934.60000000000014</v>
      </c>
      <c r="K25" s="42">
        <v>1004.208131</v>
      </c>
    </row>
    <row r="26" spans="2:11" x14ac:dyDescent="0.25">
      <c r="B26" s="49" t="s">
        <v>90</v>
      </c>
      <c r="C26" s="43">
        <v>10.799004270999999</v>
      </c>
      <c r="D26" s="43">
        <v>11.922560911</v>
      </c>
      <c r="E26" s="43">
        <v>7.2756004399999998</v>
      </c>
      <c r="F26" s="43">
        <v>6.3973613519999999</v>
      </c>
      <c r="G26" s="43">
        <v>6.1047641830000003</v>
      </c>
      <c r="H26" s="43">
        <v>8.2129180000000002</v>
      </c>
      <c r="I26" s="43">
        <v>8.6</v>
      </c>
      <c r="J26" s="43">
        <v>8.1999999999999993</v>
      </c>
      <c r="K26" s="42">
        <v>8.5044430000000002</v>
      </c>
    </row>
    <row r="27" spans="2:11" x14ac:dyDescent="0.25">
      <c r="B27" s="49" t="s">
        <v>91</v>
      </c>
      <c r="C27" s="43">
        <v>55.131186509999999</v>
      </c>
      <c r="D27" s="43">
        <v>47.477705939999979</v>
      </c>
      <c r="E27" s="43">
        <v>46.656957879800004</v>
      </c>
      <c r="F27" s="43">
        <v>72.623205152000025</v>
      </c>
      <c r="G27" s="43">
        <v>57.490866252000004</v>
      </c>
      <c r="H27" s="43">
        <v>106.12787488999999</v>
      </c>
      <c r="I27" s="43">
        <v>69.7</v>
      </c>
      <c r="J27" s="43">
        <v>70.400000000000006</v>
      </c>
      <c r="K27" s="42">
        <v>65.306712999999988</v>
      </c>
    </row>
    <row r="28" spans="2:11" x14ac:dyDescent="0.25">
      <c r="B28" s="49" t="s">
        <v>92</v>
      </c>
      <c r="C28" s="43">
        <v>129.995719651</v>
      </c>
      <c r="D28" s="43">
        <v>111.09595397799998</v>
      </c>
      <c r="E28" s="43">
        <v>116.79510938</v>
      </c>
      <c r="F28" s="43">
        <v>111.84591321000002</v>
      </c>
      <c r="G28" s="43">
        <v>112.90659055999998</v>
      </c>
      <c r="H28" s="43">
        <v>126.84949023999999</v>
      </c>
      <c r="I28" s="43">
        <v>1070.9000000000001</v>
      </c>
      <c r="J28" s="43">
        <v>135.69999999999999</v>
      </c>
      <c r="K28" s="42">
        <v>155.029664</v>
      </c>
    </row>
    <row r="29" spans="2:11" x14ac:dyDescent="0.25">
      <c r="B29" s="49" t="s">
        <v>93</v>
      </c>
      <c r="C29" s="43">
        <v>17.426346089999999</v>
      </c>
      <c r="D29" s="43">
        <v>17.702727159999998</v>
      </c>
      <c r="E29" s="43">
        <v>19.361414999999997</v>
      </c>
      <c r="F29" s="43">
        <v>19.466236130000002</v>
      </c>
      <c r="G29" s="43">
        <v>20.528144999999995</v>
      </c>
      <c r="H29" s="43">
        <v>46.401561789999995</v>
      </c>
      <c r="I29" s="43">
        <v>22.7</v>
      </c>
      <c r="J29" s="43">
        <v>22.6</v>
      </c>
      <c r="K29" s="42">
        <v>16.816709000000003</v>
      </c>
    </row>
    <row r="30" spans="2:11" x14ac:dyDescent="0.25">
      <c r="B30" s="49" t="s">
        <v>94</v>
      </c>
      <c r="C30" s="43">
        <v>1.6502509999999999</v>
      </c>
      <c r="D30" s="43">
        <v>1.5883530799999999</v>
      </c>
      <c r="E30" s="43">
        <v>1.7555304999999999</v>
      </c>
      <c r="F30" s="43">
        <v>1.4618060899999998</v>
      </c>
      <c r="G30" s="43">
        <v>20.154775999999998</v>
      </c>
      <c r="H30" s="43">
        <v>2.62614137</v>
      </c>
      <c r="I30" s="43">
        <v>2.2999999999999998</v>
      </c>
      <c r="J30" s="43">
        <v>2.5</v>
      </c>
      <c r="K30" s="42">
        <v>3.581623</v>
      </c>
    </row>
    <row r="31" spans="2:11" x14ac:dyDescent="0.25">
      <c r="B31" s="49" t="s">
        <v>95</v>
      </c>
      <c r="C31" s="43">
        <v>220.69079475999999</v>
      </c>
      <c r="D31" s="43">
        <v>624.7085290310996</v>
      </c>
      <c r="E31" s="43">
        <v>141.05893388000004</v>
      </c>
      <c r="F31" s="43">
        <v>207.07271541000009</v>
      </c>
      <c r="G31" s="43">
        <v>294.17501811300014</v>
      </c>
      <c r="H31" s="43">
        <v>172.57560069700003</v>
      </c>
      <c r="I31" s="43">
        <v>171.9</v>
      </c>
      <c r="J31" s="43">
        <v>177.99999999999994</v>
      </c>
      <c r="K31" s="42">
        <v>187.943916</v>
      </c>
    </row>
    <row r="32" spans="2:11" x14ac:dyDescent="0.25">
      <c r="B32" s="49" t="s">
        <v>96</v>
      </c>
      <c r="C32" s="43">
        <v>178.15102219000002</v>
      </c>
      <c r="D32" s="43">
        <v>185.54091748099998</v>
      </c>
      <c r="E32" s="43">
        <v>201.39177213600007</v>
      </c>
      <c r="F32" s="43">
        <v>191.34307231199998</v>
      </c>
      <c r="G32" s="43">
        <v>227.27148054199998</v>
      </c>
      <c r="H32" s="43">
        <v>213.69691446000002</v>
      </c>
      <c r="I32" s="43">
        <v>224.6</v>
      </c>
      <c r="J32" s="43">
        <v>249.49999999999997</v>
      </c>
      <c r="K32" s="42">
        <v>297.80691299999989</v>
      </c>
    </row>
    <row r="33" spans="2:11" x14ac:dyDescent="0.25">
      <c r="B33" s="49" t="s">
        <v>97</v>
      </c>
      <c r="C33" s="43">
        <v>6.0352836989999998</v>
      </c>
      <c r="D33" s="43">
        <v>6.8693545540000009</v>
      </c>
      <c r="E33" s="43">
        <v>5.6799777429999994</v>
      </c>
      <c r="F33" s="43">
        <v>7.7218768989999997</v>
      </c>
      <c r="G33" s="43">
        <v>6.4399557059999992</v>
      </c>
      <c r="H33" s="43">
        <v>6.9681072900000007</v>
      </c>
      <c r="I33" s="43">
        <v>6</v>
      </c>
      <c r="J33" s="43">
        <v>168.6</v>
      </c>
      <c r="K33" s="42">
        <v>4.3705129999999999</v>
      </c>
    </row>
    <row r="34" spans="2:11" x14ac:dyDescent="0.25">
      <c r="B34" s="49" t="s">
        <v>98</v>
      </c>
      <c r="C34" s="43">
        <v>9.1575706000000086</v>
      </c>
      <c r="D34" s="43">
        <v>0.53509399999999996</v>
      </c>
      <c r="E34" s="43">
        <v>11.947016999999997</v>
      </c>
      <c r="F34" s="43">
        <v>11.332635</v>
      </c>
      <c r="G34" s="43">
        <v>13.117297000000001</v>
      </c>
      <c r="H34" s="43">
        <v>14.628197999999999</v>
      </c>
      <c r="I34" s="43">
        <v>14</v>
      </c>
      <c r="J34" s="43">
        <v>0.2</v>
      </c>
      <c r="K34" s="42">
        <v>20.408308000000002</v>
      </c>
    </row>
    <row r="35" spans="2:11" x14ac:dyDescent="0.25">
      <c r="B35" s="49" t="s">
        <v>99</v>
      </c>
      <c r="C35" s="43">
        <v>405.89953200000002</v>
      </c>
      <c r="D35" s="43">
        <v>198.87749300000002</v>
      </c>
      <c r="E35" s="43">
        <v>174.65556000000001</v>
      </c>
      <c r="F35" s="43">
        <v>207.64533800000001</v>
      </c>
      <c r="G35" s="43">
        <v>217.897096</v>
      </c>
      <c r="H35" s="43">
        <v>217.76352954000004</v>
      </c>
      <c r="I35" s="43">
        <v>211.8</v>
      </c>
      <c r="J35" s="43">
        <v>249.3</v>
      </c>
      <c r="K35" s="42">
        <v>260.33943599999998</v>
      </c>
    </row>
    <row r="36" spans="2:11" ht="24.75" x14ac:dyDescent="0.25">
      <c r="B36" s="49" t="s">
        <v>100</v>
      </c>
      <c r="C36" s="43">
        <v>229.37005472200002</v>
      </c>
      <c r="D36" s="43">
        <v>200.45616166399998</v>
      </c>
      <c r="E36" s="43">
        <v>241.17024612999995</v>
      </c>
      <c r="F36" s="43">
        <v>212.64585194800006</v>
      </c>
      <c r="G36" s="43">
        <v>223.07118703299997</v>
      </c>
      <c r="H36" s="43">
        <v>215.99998906000002</v>
      </c>
      <c r="I36" s="43">
        <v>220.5</v>
      </c>
      <c r="J36" s="43">
        <v>290.7000000000001</v>
      </c>
      <c r="K36" s="42">
        <v>324.06027100000011</v>
      </c>
    </row>
    <row r="37" spans="2:11" x14ac:dyDescent="0.25">
      <c r="B37" s="49" t="s">
        <v>101</v>
      </c>
      <c r="C37" s="43">
        <v>27.249538000000005</v>
      </c>
      <c r="D37" s="43">
        <v>10.111598460000002</v>
      </c>
      <c r="E37" s="43">
        <v>9.1112339999999996</v>
      </c>
      <c r="F37" s="43">
        <v>8.8106460000000002</v>
      </c>
      <c r="G37" s="43">
        <v>8.1021589400000007</v>
      </c>
      <c r="H37" s="43">
        <v>4.7594155149999997</v>
      </c>
      <c r="I37" s="43">
        <v>0.2</v>
      </c>
      <c r="J37" s="37">
        <v>0</v>
      </c>
      <c r="K37" s="42">
        <v>0</v>
      </c>
    </row>
    <row r="38" spans="2:11" x14ac:dyDescent="0.25">
      <c r="B38" s="49" t="s">
        <v>102</v>
      </c>
      <c r="C38" s="43">
        <v>115.61476099999999</v>
      </c>
      <c r="D38" s="43">
        <v>103.98165900000001</v>
      </c>
      <c r="E38" s="43">
        <v>107.44364896299999</v>
      </c>
      <c r="F38" s="43">
        <v>26.095927331000006</v>
      </c>
      <c r="G38" s="43">
        <v>73.819337000000004</v>
      </c>
      <c r="H38" s="43">
        <v>24.71004293</v>
      </c>
      <c r="I38" s="43">
        <v>62.5</v>
      </c>
      <c r="J38" s="43">
        <v>74.800000000000011</v>
      </c>
      <c r="K38" s="42">
        <v>60.745621999999997</v>
      </c>
    </row>
    <row r="39" spans="2:11" x14ac:dyDescent="0.25">
      <c r="B39" s="49" t="s">
        <v>103</v>
      </c>
      <c r="C39" s="43">
        <v>349.11204032199998</v>
      </c>
      <c r="D39" s="43">
        <v>328.25780250999998</v>
      </c>
      <c r="E39" s="43">
        <v>292.70253297000005</v>
      </c>
      <c r="F39" s="43">
        <v>222.898175971</v>
      </c>
      <c r="G39" s="43">
        <v>262.09251713099997</v>
      </c>
      <c r="H39" s="43">
        <v>239.95043582400001</v>
      </c>
      <c r="I39" s="43">
        <v>42.2</v>
      </c>
      <c r="J39" s="43">
        <v>94.7</v>
      </c>
      <c r="K39" s="42">
        <v>176.61955399999997</v>
      </c>
    </row>
    <row r="40" spans="2:11" x14ac:dyDescent="0.25">
      <c r="B40" s="49" t="s">
        <v>104</v>
      </c>
      <c r="C40" s="43">
        <v>78.072580799999997</v>
      </c>
      <c r="D40" s="43">
        <v>85.308588179999987</v>
      </c>
      <c r="E40" s="43">
        <v>71.830028479999996</v>
      </c>
      <c r="F40" s="43">
        <v>206.73695246000003</v>
      </c>
      <c r="G40" s="43">
        <v>178.05884186200004</v>
      </c>
      <c r="H40" s="43">
        <v>89.475798224000002</v>
      </c>
      <c r="I40" s="43">
        <v>61.1</v>
      </c>
      <c r="J40" s="43">
        <v>105.99999999999999</v>
      </c>
      <c r="K40" s="42">
        <v>105.34814900000002</v>
      </c>
    </row>
    <row r="41" spans="2:11" x14ac:dyDescent="0.25">
      <c r="B41" s="49" t="s">
        <v>105</v>
      </c>
      <c r="C41" s="43">
        <v>18.700272999999999</v>
      </c>
      <c r="D41" s="43">
        <v>11.579954000000001</v>
      </c>
      <c r="E41" s="43">
        <v>16.715444340000001</v>
      </c>
      <c r="F41" s="43">
        <v>4.396299</v>
      </c>
      <c r="G41" s="43">
        <v>4.3485779999999998</v>
      </c>
      <c r="H41" s="37">
        <v>0</v>
      </c>
      <c r="I41" s="37">
        <v>0</v>
      </c>
      <c r="J41" s="43">
        <v>0.7</v>
      </c>
      <c r="K41" s="42">
        <v>0.62216000000000005</v>
      </c>
    </row>
    <row r="42" spans="2:11" x14ac:dyDescent="0.25">
      <c r="B42" s="49" t="s">
        <v>106</v>
      </c>
      <c r="C42" s="43">
        <v>29.402198899999998</v>
      </c>
      <c r="D42" s="43">
        <v>35.289410279999998</v>
      </c>
      <c r="E42" s="43">
        <v>27.925226800000001</v>
      </c>
      <c r="F42" s="43">
        <v>95.573355839999991</v>
      </c>
      <c r="G42" s="43">
        <v>111.93489957999999</v>
      </c>
      <c r="H42" s="43">
        <v>58.378907839999997</v>
      </c>
      <c r="I42" s="43">
        <v>45.1</v>
      </c>
      <c r="J42" s="43">
        <v>59</v>
      </c>
      <c r="K42" s="42">
        <v>58.728142999999996</v>
      </c>
    </row>
    <row r="43" spans="2:11" x14ac:dyDescent="0.25">
      <c r="B43" s="49" t="s">
        <v>107</v>
      </c>
      <c r="C43" s="43">
        <v>5.6961246699999997</v>
      </c>
      <c r="D43" s="43">
        <v>2.6389910000000003</v>
      </c>
      <c r="E43" s="43">
        <v>1.82443</v>
      </c>
      <c r="F43" s="43">
        <v>11.684240000000001</v>
      </c>
      <c r="G43" s="43">
        <v>1.338813</v>
      </c>
      <c r="H43" s="43">
        <v>0.74172400000000005</v>
      </c>
      <c r="I43" s="43">
        <v>0.4</v>
      </c>
      <c r="J43" s="43">
        <v>0.1</v>
      </c>
      <c r="K43" s="42">
        <v>0.14515800000000001</v>
      </c>
    </row>
    <row r="44" spans="2:11" x14ac:dyDescent="0.25">
      <c r="B44" s="49" t="s">
        <v>108</v>
      </c>
      <c r="C44" s="43">
        <v>1.5454840000000001</v>
      </c>
      <c r="D44" s="43">
        <v>1.0440130000000001</v>
      </c>
      <c r="E44" s="43">
        <v>3.6058059999999994</v>
      </c>
      <c r="F44" s="43">
        <v>4.58193552</v>
      </c>
      <c r="G44" s="43">
        <v>4.5253943679999997</v>
      </c>
      <c r="H44" s="43">
        <v>0.95209016599999996</v>
      </c>
      <c r="I44" s="43">
        <v>2.1</v>
      </c>
      <c r="J44" s="43">
        <v>7.5</v>
      </c>
      <c r="K44" s="42">
        <v>5.1980629999999994</v>
      </c>
    </row>
    <row r="45" spans="2:11" x14ac:dyDescent="0.25">
      <c r="B45" s="49" t="s">
        <v>109</v>
      </c>
      <c r="C45" s="43">
        <v>77.250154269999996</v>
      </c>
      <c r="D45" s="43">
        <v>54.548215160000005</v>
      </c>
      <c r="E45" s="43">
        <v>77.643987173000014</v>
      </c>
      <c r="F45" s="43">
        <v>81.022375882000006</v>
      </c>
      <c r="G45" s="43">
        <v>82.066350799999995</v>
      </c>
      <c r="H45" s="43">
        <v>86.188486762000011</v>
      </c>
      <c r="I45" s="43">
        <v>14.6</v>
      </c>
      <c r="J45" s="43">
        <v>88.299999999999983</v>
      </c>
      <c r="K45" s="42">
        <v>91.847229999999996</v>
      </c>
    </row>
    <row r="46" spans="2:11" x14ac:dyDescent="0.25">
      <c r="B46" s="49" t="s">
        <v>110</v>
      </c>
      <c r="C46" s="43">
        <v>89.706665430000001</v>
      </c>
      <c r="D46" s="43">
        <v>170.47018360899997</v>
      </c>
      <c r="E46" s="43">
        <v>56.381682545000018</v>
      </c>
      <c r="F46" s="43">
        <v>58.311870883999987</v>
      </c>
      <c r="G46" s="43">
        <v>50.484044610999995</v>
      </c>
      <c r="H46" s="43">
        <v>49.220527414999992</v>
      </c>
      <c r="I46" s="43">
        <v>44.7</v>
      </c>
      <c r="J46" s="43">
        <v>48.2</v>
      </c>
      <c r="K46" s="42">
        <v>157.82735500000001</v>
      </c>
    </row>
    <row r="47" spans="2:11" x14ac:dyDescent="0.25">
      <c r="B47" s="49" t="s">
        <v>111</v>
      </c>
      <c r="C47" s="43">
        <v>0.159722</v>
      </c>
      <c r="D47" s="43">
        <v>0.20358099999999998</v>
      </c>
      <c r="E47" s="43">
        <v>0.20414499999999999</v>
      </c>
      <c r="F47" s="43">
        <v>3.1677999999999998E-2</v>
      </c>
      <c r="G47" s="43">
        <v>2.8117E-2</v>
      </c>
      <c r="H47" s="37">
        <v>0</v>
      </c>
      <c r="I47" s="43">
        <v>0</v>
      </c>
      <c r="J47" s="43">
        <v>0</v>
      </c>
      <c r="K47" s="42">
        <v>2.9447000000000001E-2</v>
      </c>
    </row>
    <row r="48" spans="2:11" x14ac:dyDescent="0.25">
      <c r="B48" s="49" t="s">
        <v>112</v>
      </c>
      <c r="C48" s="43">
        <v>24.363133041999987</v>
      </c>
      <c r="D48" s="43">
        <v>20.76704307799999</v>
      </c>
      <c r="E48" s="43">
        <v>11.148976532000002</v>
      </c>
      <c r="F48" s="43">
        <v>58.61797260199998</v>
      </c>
      <c r="G48" s="43">
        <v>20.263227042999997</v>
      </c>
      <c r="H48" s="43">
        <v>19.065885180999992</v>
      </c>
      <c r="I48" s="43">
        <v>12.9</v>
      </c>
      <c r="J48" s="43">
        <v>16.400000000000002</v>
      </c>
      <c r="K48" s="42">
        <v>16.995834999999996</v>
      </c>
    </row>
    <row r="49" spans="2:11" ht="24.75" x14ac:dyDescent="0.25">
      <c r="B49" s="49" t="s">
        <v>113</v>
      </c>
      <c r="C49" s="43">
        <v>2.5181982860000001</v>
      </c>
      <c r="D49" s="43">
        <v>0.53684058000000001</v>
      </c>
      <c r="E49" s="43">
        <v>5.4247669299999997</v>
      </c>
      <c r="F49" s="43">
        <v>1.0043409999999999</v>
      </c>
      <c r="G49" s="43">
        <v>0.45069078000000001</v>
      </c>
      <c r="H49" s="43">
        <v>0.81483899999999998</v>
      </c>
      <c r="I49" s="43">
        <v>1.3</v>
      </c>
      <c r="J49" s="43">
        <v>1.3000000000000003</v>
      </c>
      <c r="K49" s="42">
        <v>0.89231499999999997</v>
      </c>
    </row>
    <row r="50" spans="2:11" ht="24.75" x14ac:dyDescent="0.25">
      <c r="B50" s="49" t="s">
        <v>114</v>
      </c>
      <c r="C50" s="43">
        <v>1.1525680549999999</v>
      </c>
      <c r="D50" s="43">
        <v>1.2208241</v>
      </c>
      <c r="E50" s="43">
        <v>1.238586</v>
      </c>
      <c r="F50" s="43">
        <v>1.1901550000000001</v>
      </c>
      <c r="G50" s="43">
        <v>2.4268510000000001</v>
      </c>
      <c r="H50" s="43">
        <v>2.1618309999999998</v>
      </c>
      <c r="I50" s="43">
        <v>0.6</v>
      </c>
      <c r="J50" s="43">
        <v>1.6</v>
      </c>
      <c r="K50" s="42">
        <v>1.803593</v>
      </c>
    </row>
    <row r="51" spans="2:11" x14ac:dyDescent="0.25">
      <c r="B51" s="49" t="s">
        <v>115</v>
      </c>
      <c r="C51" s="43">
        <v>14.026185280000002</v>
      </c>
      <c r="D51" s="43">
        <v>13.541792640000001</v>
      </c>
      <c r="E51" s="43">
        <v>10.850154</v>
      </c>
      <c r="F51" s="43">
        <v>9.3972622829999999</v>
      </c>
      <c r="G51" s="43">
        <v>6.1581134009999996</v>
      </c>
      <c r="H51" s="43">
        <v>10.279751755999998</v>
      </c>
      <c r="I51" s="43">
        <v>41</v>
      </c>
      <c r="J51" s="43">
        <v>54.699999999999996</v>
      </c>
      <c r="K51" s="42">
        <v>57.921063000000011</v>
      </c>
    </row>
    <row r="52" spans="2:11" x14ac:dyDescent="0.25">
      <c r="B52" s="49" t="s">
        <v>116</v>
      </c>
      <c r="C52" s="43">
        <v>49.170491999999989</v>
      </c>
      <c r="D52" s="43">
        <v>14.558406</v>
      </c>
      <c r="E52" s="43">
        <v>16.044170999999999</v>
      </c>
      <c r="F52" s="43">
        <v>15.952922000000001</v>
      </c>
      <c r="G52" s="43">
        <v>14.94814</v>
      </c>
      <c r="H52" s="43">
        <v>14.354716000000002</v>
      </c>
      <c r="I52" s="43">
        <v>13.3</v>
      </c>
      <c r="J52" s="43">
        <v>4.8</v>
      </c>
      <c r="K52" s="42">
        <v>8.3582920000000005</v>
      </c>
    </row>
    <row r="53" spans="2:11" x14ac:dyDescent="0.25">
      <c r="B53" s="49" t="s">
        <v>117</v>
      </c>
      <c r="C53" s="43">
        <v>7.1994759999999998</v>
      </c>
      <c r="D53" s="43">
        <v>7.9345149999999993</v>
      </c>
      <c r="E53" s="43">
        <v>6.888166</v>
      </c>
      <c r="F53" s="43">
        <v>5.329574</v>
      </c>
      <c r="G53" s="43">
        <v>471.69499100000002</v>
      </c>
      <c r="H53" s="43">
        <v>466.99838099999999</v>
      </c>
      <c r="I53" s="43">
        <v>1</v>
      </c>
      <c r="J53" s="43">
        <v>0.1</v>
      </c>
      <c r="K53" s="42">
        <v>9.4653000000000001E-2</v>
      </c>
    </row>
    <row r="54" spans="2:11" x14ac:dyDescent="0.25">
      <c r="B54" s="49" t="s">
        <v>118</v>
      </c>
      <c r="C54" s="43">
        <v>5.3222004999999992</v>
      </c>
      <c r="D54" s="43">
        <v>4.8764459599999981</v>
      </c>
      <c r="E54" s="43">
        <v>4.7689657199999989</v>
      </c>
      <c r="F54" s="43">
        <v>5.2718858000000015</v>
      </c>
      <c r="G54" s="43">
        <v>19.085585820719995</v>
      </c>
      <c r="H54" s="43">
        <v>3.9827598270000011</v>
      </c>
      <c r="I54" s="43">
        <v>4.4000000000000004</v>
      </c>
      <c r="J54" s="43">
        <v>6.6999999999999975</v>
      </c>
      <c r="K54" s="42">
        <v>7.7751540000000023</v>
      </c>
    </row>
    <row r="55" spans="2:11" ht="24.75" x14ac:dyDescent="0.25">
      <c r="B55" s="49" t="s">
        <v>119</v>
      </c>
      <c r="C55" s="43">
        <v>54.347132999999999</v>
      </c>
      <c r="D55" s="43">
        <v>55.782529709999999</v>
      </c>
      <c r="E55" s="43">
        <v>58.680927999999994</v>
      </c>
      <c r="F55" s="43">
        <v>61.505867776999992</v>
      </c>
      <c r="G55" s="43">
        <v>61.543849000000009</v>
      </c>
      <c r="H55" s="43">
        <v>74.088983079999991</v>
      </c>
      <c r="I55" s="43">
        <v>64.5</v>
      </c>
      <c r="J55" s="43">
        <v>65.8</v>
      </c>
      <c r="K55" s="42">
        <v>78.15893299999999</v>
      </c>
    </row>
    <row r="56" spans="2:11" ht="24.75" x14ac:dyDescent="0.25">
      <c r="B56" s="49" t="s">
        <v>120</v>
      </c>
      <c r="C56" s="43">
        <v>4.2056685890000001</v>
      </c>
      <c r="D56" s="43">
        <v>4.9826361231999998</v>
      </c>
      <c r="E56" s="43">
        <v>0.91584500000000002</v>
      </c>
      <c r="F56" s="43">
        <v>0.71778607999999999</v>
      </c>
      <c r="G56" s="43">
        <v>1.0615159999999999</v>
      </c>
      <c r="H56" s="43">
        <v>0.99068599999999984</v>
      </c>
      <c r="I56" s="43">
        <v>0.8</v>
      </c>
      <c r="J56" s="43">
        <v>0.4</v>
      </c>
      <c r="K56" s="42">
        <v>1.5421899999999999</v>
      </c>
    </row>
    <row r="57" spans="2:11" x14ac:dyDescent="0.25">
      <c r="B57" s="49" t="s">
        <v>121</v>
      </c>
      <c r="C57" s="43">
        <v>0.48978109000000003</v>
      </c>
      <c r="D57" s="43">
        <v>26.10999661</v>
      </c>
      <c r="E57" s="43">
        <v>0.44720961000000004</v>
      </c>
      <c r="F57" s="43">
        <v>0.44299868000000003</v>
      </c>
      <c r="G57" s="43">
        <v>0.50298599999999993</v>
      </c>
      <c r="H57" s="43">
        <v>0.61541299999999999</v>
      </c>
      <c r="I57" s="43">
        <v>0.5</v>
      </c>
      <c r="J57" s="43">
        <v>0.7</v>
      </c>
      <c r="K57" s="42">
        <v>66.955852000000007</v>
      </c>
    </row>
    <row r="58" spans="2:11" ht="24.75" x14ac:dyDescent="0.25">
      <c r="B58" s="49" t="s">
        <v>122</v>
      </c>
      <c r="C58" s="43">
        <v>1.9281186019999998</v>
      </c>
      <c r="D58" s="43">
        <v>1.6572219999999998</v>
      </c>
      <c r="E58" s="43">
        <v>2.0136670000000008</v>
      </c>
      <c r="F58" s="43">
        <v>1.5601070000000001</v>
      </c>
      <c r="G58" s="43">
        <v>1.6899890000000002</v>
      </c>
      <c r="H58" s="43">
        <v>1.5149859999999997</v>
      </c>
      <c r="I58" s="43">
        <v>1.5</v>
      </c>
      <c r="J58" s="43">
        <v>1.6</v>
      </c>
      <c r="K58" s="42">
        <v>1.5344339999999999</v>
      </c>
    </row>
    <row r="59" spans="2:11" x14ac:dyDescent="0.25">
      <c r="B59" s="49" t="s">
        <v>123</v>
      </c>
      <c r="C59" s="43">
        <v>799.14335700000004</v>
      </c>
      <c r="D59" s="43">
        <v>833.00580999999988</v>
      </c>
      <c r="E59" s="43">
        <v>1092.0444939756997</v>
      </c>
      <c r="F59" s="43">
        <v>436.47212029000002</v>
      </c>
      <c r="G59" s="43">
        <v>498.86944571999999</v>
      </c>
      <c r="H59" s="43">
        <v>557.90805025999998</v>
      </c>
      <c r="I59" s="43">
        <v>567.9</v>
      </c>
      <c r="J59" s="43">
        <v>794.2</v>
      </c>
      <c r="K59" s="42">
        <v>808.72784499999989</v>
      </c>
    </row>
    <row r="60" spans="2:11" ht="24.75" x14ac:dyDescent="0.25">
      <c r="B60" s="49" t="s">
        <v>124</v>
      </c>
      <c r="C60" s="43">
        <v>191.64377857899996</v>
      </c>
      <c r="D60" s="43">
        <v>196.70350283499999</v>
      </c>
      <c r="E60" s="43">
        <v>171.57776436999998</v>
      </c>
      <c r="F60" s="43">
        <v>186.01997074300002</v>
      </c>
      <c r="G60" s="43">
        <v>196.44974085700005</v>
      </c>
      <c r="H60" s="43">
        <v>221.76321308999999</v>
      </c>
      <c r="I60" s="43">
        <v>240.4</v>
      </c>
      <c r="J60" s="43">
        <v>215.4</v>
      </c>
      <c r="K60" s="42">
        <v>234.30731899999998</v>
      </c>
    </row>
    <row r="61" spans="2:11" x14ac:dyDescent="0.25">
      <c r="B61" s="49" t="s">
        <v>125</v>
      </c>
      <c r="C61" s="43">
        <v>529.78482179999992</v>
      </c>
      <c r="D61" s="43">
        <v>526.70562159999997</v>
      </c>
      <c r="E61" s="43">
        <v>483.17504919999982</v>
      </c>
      <c r="F61" s="43">
        <v>509.73064908000003</v>
      </c>
      <c r="G61" s="43">
        <v>529.44558688000006</v>
      </c>
      <c r="H61" s="43">
        <v>515.58235283799991</v>
      </c>
      <c r="I61" s="43">
        <v>402.8</v>
      </c>
      <c r="J61" s="43">
        <v>355.00000000000006</v>
      </c>
      <c r="K61" s="42">
        <v>524.427774</v>
      </c>
    </row>
    <row r="62" spans="2:11" x14ac:dyDescent="0.25">
      <c r="B62" s="49" t="s">
        <v>126</v>
      </c>
      <c r="C62" s="43">
        <v>229.61891167700009</v>
      </c>
      <c r="D62" s="43">
        <v>96.415358458999975</v>
      </c>
      <c r="E62" s="43">
        <v>678.99301808000007</v>
      </c>
      <c r="F62" s="43">
        <v>94.842128101300005</v>
      </c>
      <c r="G62" s="43">
        <v>465.23861088399997</v>
      </c>
      <c r="H62" s="43">
        <v>104.19373206029999</v>
      </c>
      <c r="I62" s="43">
        <v>876</v>
      </c>
      <c r="J62" s="43">
        <v>74.299999999999983</v>
      </c>
      <c r="K62" s="42">
        <v>92.229088000000033</v>
      </c>
    </row>
    <row r="63" spans="2:11" x14ac:dyDescent="0.25">
      <c r="B63" s="49" t="s">
        <v>127</v>
      </c>
      <c r="C63" s="43">
        <v>0.83832299999999993</v>
      </c>
      <c r="D63" s="43">
        <v>0.57444076200000005</v>
      </c>
      <c r="E63" s="43">
        <v>1.3043461170000001</v>
      </c>
      <c r="F63" s="43">
        <v>0.98551192900000006</v>
      </c>
      <c r="G63" s="43">
        <v>2.5805359999999999</v>
      </c>
      <c r="H63" s="43">
        <v>1.2934589999999999</v>
      </c>
      <c r="I63" s="43">
        <v>1.5</v>
      </c>
      <c r="J63" s="43">
        <v>1.8000000000000003</v>
      </c>
      <c r="K63" s="42">
        <v>1.9252269999999998</v>
      </c>
    </row>
    <row r="64" spans="2:11" x14ac:dyDescent="0.25">
      <c r="B64" s="49" t="s">
        <v>128</v>
      </c>
      <c r="C64" s="43">
        <v>5.2713557399999997</v>
      </c>
      <c r="D64" s="43">
        <v>2.8433889999999997</v>
      </c>
      <c r="E64" s="43">
        <v>6.6181410000000014</v>
      </c>
      <c r="F64" s="43">
        <v>8.1233630699999999</v>
      </c>
      <c r="G64" s="43">
        <v>10.84997742</v>
      </c>
      <c r="H64" s="43">
        <v>15.087890999999999</v>
      </c>
      <c r="I64" s="43">
        <v>19.2</v>
      </c>
      <c r="J64" s="43">
        <v>22.3</v>
      </c>
      <c r="K64" s="42">
        <v>19.444932999999999</v>
      </c>
    </row>
    <row r="65" spans="2:11" x14ac:dyDescent="0.25">
      <c r="B65" s="49" t="s">
        <v>129</v>
      </c>
      <c r="C65" s="43">
        <v>22.374508689999995</v>
      </c>
      <c r="D65" s="43">
        <v>19.392318860000003</v>
      </c>
      <c r="E65" s="43">
        <v>24.304619974999998</v>
      </c>
      <c r="F65" s="43">
        <v>62.4</v>
      </c>
      <c r="G65" s="43">
        <v>26.436510389999999</v>
      </c>
      <c r="H65" s="43">
        <v>817.05709358399997</v>
      </c>
      <c r="I65" s="43">
        <v>722.7</v>
      </c>
      <c r="J65" s="43">
        <v>740.5</v>
      </c>
      <c r="K65" s="42">
        <v>671.61488500000007</v>
      </c>
    </row>
    <row r="66" spans="2:11" x14ac:dyDescent="0.25">
      <c r="B66" s="49" t="s">
        <v>130</v>
      </c>
      <c r="C66" s="43">
        <v>3.8502000000000002E-2</v>
      </c>
      <c r="D66" s="43">
        <v>1.5032999999999999E-2</v>
      </c>
      <c r="E66" s="43">
        <v>1.6320000000000001E-2</v>
      </c>
      <c r="F66" s="43">
        <v>1.3726E-2</v>
      </c>
      <c r="G66" s="43">
        <v>1.5810000000000001E-2</v>
      </c>
      <c r="H66" s="43">
        <v>1.8558999999999999E-2</v>
      </c>
      <c r="I66" s="43">
        <v>0</v>
      </c>
      <c r="J66" s="37">
        <v>0</v>
      </c>
      <c r="K66" s="42">
        <v>2.1600999999999999E-2</v>
      </c>
    </row>
    <row r="67" spans="2:11" x14ac:dyDescent="0.25">
      <c r="B67" s="49" t="s">
        <v>131</v>
      </c>
      <c r="C67" s="43">
        <v>275.7056455</v>
      </c>
      <c r="D67" s="43">
        <v>287.63609715999985</v>
      </c>
      <c r="E67" s="43">
        <v>344.65139306500015</v>
      </c>
      <c r="F67" s="43">
        <v>373.23507990000002</v>
      </c>
      <c r="G67" s="43">
        <v>848.34518236800022</v>
      </c>
      <c r="H67" s="43">
        <v>366.03328090900004</v>
      </c>
      <c r="I67" s="43">
        <v>384.9</v>
      </c>
      <c r="J67" s="43">
        <v>442.20000000000005</v>
      </c>
      <c r="K67" s="42">
        <v>434.876059</v>
      </c>
    </row>
    <row r="68" spans="2:11" x14ac:dyDescent="0.25">
      <c r="B68" s="49" t="s">
        <v>132</v>
      </c>
      <c r="C68" s="43">
        <v>215.19515999000001</v>
      </c>
      <c r="D68" s="43">
        <v>192.14073499999998</v>
      </c>
      <c r="E68" s="43">
        <v>177.30319979999999</v>
      </c>
      <c r="F68" s="43">
        <v>189.882478255</v>
      </c>
      <c r="G68" s="43">
        <v>199.90280491999999</v>
      </c>
      <c r="H68" s="43">
        <v>205.05593954600002</v>
      </c>
      <c r="I68" s="43">
        <v>202.6</v>
      </c>
      <c r="J68" s="43">
        <v>210.70000000000002</v>
      </c>
      <c r="K68" s="42">
        <v>219.24519599999996</v>
      </c>
    </row>
    <row r="69" spans="2:11" x14ac:dyDescent="0.25">
      <c r="B69" s="49" t="s">
        <v>133</v>
      </c>
      <c r="C69" s="43">
        <v>167.99520623199999</v>
      </c>
      <c r="D69" s="43">
        <v>338.09345969999998</v>
      </c>
      <c r="E69" s="43">
        <v>345.32894838999999</v>
      </c>
      <c r="F69" s="43">
        <v>353.2326187999999</v>
      </c>
      <c r="G69" s="43">
        <v>215.97968144999999</v>
      </c>
      <c r="H69" s="43">
        <v>374.62905799999999</v>
      </c>
      <c r="I69" s="43">
        <v>421</v>
      </c>
      <c r="J69" s="43">
        <v>538.5</v>
      </c>
      <c r="K69" s="42">
        <v>404.75481400000001</v>
      </c>
    </row>
    <row r="70" spans="2:11" x14ac:dyDescent="0.25">
      <c r="B70" s="49" t="s">
        <v>134</v>
      </c>
      <c r="C70" s="43">
        <v>4.7E-2</v>
      </c>
      <c r="D70" s="43">
        <v>6.3070000000000001E-2</v>
      </c>
      <c r="E70" s="43">
        <v>0.15690599999999999</v>
      </c>
      <c r="F70" s="37">
        <v>0</v>
      </c>
      <c r="G70" s="37">
        <v>0</v>
      </c>
      <c r="H70" s="37">
        <v>0</v>
      </c>
      <c r="I70" s="37">
        <v>0</v>
      </c>
      <c r="J70" s="37">
        <v>0</v>
      </c>
      <c r="K70" s="42">
        <v>8.4379999999999993E-3</v>
      </c>
    </row>
    <row r="71" spans="2:11" x14ac:dyDescent="0.25">
      <c r="B71" s="49" t="s">
        <v>135</v>
      </c>
      <c r="C71" s="43">
        <v>0.26952327799999998</v>
      </c>
      <c r="D71" s="43">
        <v>0.66765595699999991</v>
      </c>
      <c r="E71" s="43">
        <v>0.79066999999999998</v>
      </c>
      <c r="F71" s="43">
        <v>23.167090085000002</v>
      </c>
      <c r="G71" s="43">
        <v>24.034439869999996</v>
      </c>
      <c r="H71" s="43">
        <v>32.373088719999998</v>
      </c>
      <c r="I71" s="43">
        <v>20.2</v>
      </c>
      <c r="J71" s="43">
        <v>36.70000000000001</v>
      </c>
      <c r="K71" s="42">
        <v>36.920175999999984</v>
      </c>
    </row>
    <row r="72" spans="2:11" ht="24.75" x14ac:dyDescent="0.25">
      <c r="B72" s="49" t="s">
        <v>136</v>
      </c>
      <c r="C72" s="43">
        <v>11.864461060999998</v>
      </c>
      <c r="D72" s="43">
        <v>12.904928019999996</v>
      </c>
      <c r="E72" s="43">
        <v>10.501010000000001</v>
      </c>
      <c r="F72" s="43">
        <v>17.735227999999999</v>
      </c>
      <c r="G72" s="43">
        <v>19.7917138</v>
      </c>
      <c r="H72" s="43">
        <v>20.174364440000002</v>
      </c>
      <c r="I72" s="43">
        <v>17.899999999999999</v>
      </c>
      <c r="J72" s="43">
        <v>17.900000000000002</v>
      </c>
      <c r="K72" s="42">
        <v>29.094487000000001</v>
      </c>
    </row>
    <row r="73" spans="2:11" ht="24.75" x14ac:dyDescent="0.25">
      <c r="B73" s="49" t="s">
        <v>137</v>
      </c>
      <c r="C73" s="43">
        <v>92.296832042000005</v>
      </c>
      <c r="D73" s="43">
        <v>103.94242162299984</v>
      </c>
      <c r="E73" s="43">
        <v>106.08113543900008</v>
      </c>
      <c r="F73" s="43">
        <v>144.1359851310001</v>
      </c>
      <c r="G73" s="43">
        <v>128.290025515</v>
      </c>
      <c r="H73" s="43">
        <v>144.164558102</v>
      </c>
      <c r="I73" s="43">
        <v>128.69999999999999</v>
      </c>
      <c r="J73" s="43">
        <v>139.19999999999996</v>
      </c>
      <c r="K73" s="42">
        <v>157.56383600000001</v>
      </c>
    </row>
    <row r="74" spans="2:11" x14ac:dyDescent="0.25">
      <c r="B74" s="49" t="s">
        <v>138</v>
      </c>
      <c r="C74" s="43">
        <v>282.82561405599989</v>
      </c>
      <c r="D74" s="43">
        <v>283.44382245899999</v>
      </c>
      <c r="E74" s="43">
        <v>302.35373282799998</v>
      </c>
      <c r="F74" s="43">
        <v>338.36640471299995</v>
      </c>
      <c r="G74" s="43">
        <v>306.29409279600009</v>
      </c>
      <c r="H74" s="43">
        <v>323.17809726259992</v>
      </c>
      <c r="I74" s="43">
        <v>303.8</v>
      </c>
      <c r="J74" s="43">
        <v>349.40000000000009</v>
      </c>
      <c r="K74" s="42">
        <v>317.82692999999995</v>
      </c>
    </row>
    <row r="75" spans="2:11" x14ac:dyDescent="0.25">
      <c r="B75" s="49" t="s">
        <v>139</v>
      </c>
      <c r="C75" s="43">
        <v>125.90602100000001</v>
      </c>
      <c r="D75" s="43">
        <v>123.41133280539999</v>
      </c>
      <c r="E75" s="43">
        <v>125.14465700000001</v>
      </c>
      <c r="F75" s="43">
        <v>125.63089299999999</v>
      </c>
      <c r="G75" s="43">
        <v>134.70085</v>
      </c>
      <c r="H75" s="43">
        <v>144.34641999999999</v>
      </c>
      <c r="I75" s="43">
        <v>116.6</v>
      </c>
      <c r="J75" s="43">
        <v>134.5</v>
      </c>
      <c r="K75" s="42">
        <v>125.90077600000001</v>
      </c>
    </row>
    <row r="76" spans="2:11" ht="24.75" x14ac:dyDescent="0.25">
      <c r="B76" s="49" t="s">
        <v>140</v>
      </c>
      <c r="C76" s="43">
        <v>139.51101387000006</v>
      </c>
      <c r="D76" s="43">
        <v>150.89322955899991</v>
      </c>
      <c r="E76" s="43">
        <v>222.97476514899898</v>
      </c>
      <c r="F76" s="43">
        <v>1233.0669046089997</v>
      </c>
      <c r="G76" s="43">
        <v>1131.5695552708828</v>
      </c>
      <c r="H76" s="43">
        <v>198.38253267800005</v>
      </c>
      <c r="I76" s="43">
        <v>216.4</v>
      </c>
      <c r="J76" s="43">
        <v>1275.8999999999999</v>
      </c>
      <c r="K76" s="42">
        <v>262.48561699999988</v>
      </c>
    </row>
    <row r="77" spans="2:11" x14ac:dyDescent="0.25">
      <c r="B77" s="49" t="s">
        <v>141</v>
      </c>
      <c r="C77" s="43">
        <v>21.960236999999999</v>
      </c>
      <c r="D77" s="43">
        <v>17.112569000000001</v>
      </c>
      <c r="E77" s="43">
        <v>16.164476000000001</v>
      </c>
      <c r="F77" s="43">
        <v>17.993417000000001</v>
      </c>
      <c r="G77" s="43">
        <v>22.497983000000001</v>
      </c>
      <c r="H77" s="43">
        <v>22.560670999999999</v>
      </c>
      <c r="I77" s="43">
        <v>20.6</v>
      </c>
      <c r="J77" s="43">
        <v>21.7</v>
      </c>
      <c r="K77" s="42">
        <v>23.201816999999998</v>
      </c>
    </row>
    <row r="78" spans="2:11" x14ac:dyDescent="0.25">
      <c r="B78" s="49" t="s">
        <v>142</v>
      </c>
      <c r="C78" s="43">
        <v>4.6976550000000001</v>
      </c>
      <c r="D78" s="43">
        <v>7.7503240899999994</v>
      </c>
      <c r="E78" s="43">
        <v>4.0151430000000001</v>
      </c>
      <c r="F78" s="43">
        <v>2.765482</v>
      </c>
      <c r="G78" s="43">
        <v>3.3132790000000001</v>
      </c>
      <c r="H78" s="43">
        <v>3.326638</v>
      </c>
      <c r="I78" s="43">
        <v>3.2</v>
      </c>
      <c r="J78" s="43">
        <v>4.4999999999999991</v>
      </c>
      <c r="K78" s="42">
        <v>3.6195979999999999</v>
      </c>
    </row>
    <row r="79" spans="2:11" x14ac:dyDescent="0.25">
      <c r="B79" s="49" t="s">
        <v>143</v>
      </c>
      <c r="C79" s="43">
        <v>18.242680519999997</v>
      </c>
      <c r="D79" s="43">
        <v>34.723867719999994</v>
      </c>
      <c r="E79" s="43">
        <v>40.912230811000008</v>
      </c>
      <c r="F79" s="43">
        <v>17.516909392999999</v>
      </c>
      <c r="G79" s="43">
        <v>26.060470500000001</v>
      </c>
      <c r="H79" s="43">
        <v>17.277955306999999</v>
      </c>
      <c r="I79" s="43">
        <v>17.5</v>
      </c>
      <c r="J79" s="43">
        <v>14.600000000000001</v>
      </c>
      <c r="K79" s="42">
        <v>21.775658</v>
      </c>
    </row>
    <row r="80" spans="2:11" x14ac:dyDescent="0.25">
      <c r="B80" s="49" t="s">
        <v>144</v>
      </c>
      <c r="C80" s="43">
        <v>122.90393792099998</v>
      </c>
      <c r="D80" s="43">
        <v>177.24401184600003</v>
      </c>
      <c r="E80" s="43">
        <v>197.56414363100001</v>
      </c>
      <c r="F80" s="43">
        <v>296.09140083400001</v>
      </c>
      <c r="G80" s="43">
        <v>236.68348128</v>
      </c>
      <c r="H80" s="43">
        <v>226.15178635999996</v>
      </c>
      <c r="I80" s="43">
        <v>167.8</v>
      </c>
      <c r="J80" s="43">
        <v>181.19999999999996</v>
      </c>
      <c r="K80" s="42">
        <v>163.27954299999999</v>
      </c>
    </row>
    <row r="81" spans="2:11" x14ac:dyDescent="0.25">
      <c r="B81" s="49" t="s">
        <v>145</v>
      </c>
      <c r="C81" s="43">
        <v>675.12714435599969</v>
      </c>
      <c r="D81" s="43">
        <v>616.75138423799945</v>
      </c>
      <c r="E81" s="43">
        <v>1199.6186702329999</v>
      </c>
      <c r="F81" s="43">
        <v>1584.1203711960004</v>
      </c>
      <c r="G81" s="43">
        <v>877.87108833100024</v>
      </c>
      <c r="H81" s="43">
        <v>691.60885651500007</v>
      </c>
      <c r="I81" s="43">
        <v>687.2</v>
      </c>
      <c r="J81" s="43">
        <v>780.70000000000016</v>
      </c>
      <c r="K81" s="42">
        <v>1090.8479470000002</v>
      </c>
    </row>
    <row r="82" spans="2:11" x14ac:dyDescent="0.25">
      <c r="B82" s="49" t="s">
        <v>146</v>
      </c>
      <c r="C82" s="43">
        <v>248.89102812000002</v>
      </c>
      <c r="D82" s="43">
        <v>201.28542189299998</v>
      </c>
      <c r="E82" s="43">
        <v>205.16853054999999</v>
      </c>
      <c r="F82" s="43">
        <v>207.07569618000002</v>
      </c>
      <c r="G82" s="43">
        <v>227.08223830399999</v>
      </c>
      <c r="H82" s="43">
        <v>85.57027226999999</v>
      </c>
      <c r="I82" s="43">
        <v>238.2</v>
      </c>
      <c r="J82" s="43">
        <v>311.10000000000002</v>
      </c>
      <c r="K82" s="42">
        <v>315.08854200000002</v>
      </c>
    </row>
    <row r="83" spans="2:11" x14ac:dyDescent="0.25">
      <c r="B83" s="49" t="s">
        <v>147</v>
      </c>
      <c r="C83" s="43">
        <v>3.4935160000000001</v>
      </c>
      <c r="D83" s="43">
        <v>3.3943319999999999</v>
      </c>
      <c r="E83" s="43">
        <v>3.2923559999999998</v>
      </c>
      <c r="F83" s="43">
        <v>2.0496339999999997</v>
      </c>
      <c r="G83" s="43">
        <v>1.5345520000000001</v>
      </c>
      <c r="H83" s="43">
        <v>0.63634400000000002</v>
      </c>
      <c r="I83" s="43">
        <v>2.1</v>
      </c>
      <c r="J83" s="43">
        <v>3.3000000000000003</v>
      </c>
      <c r="K83" s="42">
        <v>1.6509319999999998</v>
      </c>
    </row>
    <row r="84" spans="2:11" x14ac:dyDescent="0.25">
      <c r="B84" s="49" t="s">
        <v>148</v>
      </c>
      <c r="C84" s="43">
        <v>466.18427427300009</v>
      </c>
      <c r="D84" s="43">
        <v>864.51964360199997</v>
      </c>
      <c r="E84" s="43">
        <v>793.23886654099999</v>
      </c>
      <c r="F84" s="43">
        <v>191.08054908499994</v>
      </c>
      <c r="G84" s="43">
        <v>350.32154072750012</v>
      </c>
      <c r="H84" s="43">
        <v>231.31249902399995</v>
      </c>
      <c r="I84" s="43">
        <v>152.69999999999999</v>
      </c>
      <c r="J84" s="43">
        <v>248.29999999999998</v>
      </c>
      <c r="K84" s="42">
        <v>262.12006300000013</v>
      </c>
    </row>
    <row r="85" spans="2:11" x14ac:dyDescent="0.25">
      <c r="B85" s="49" t="s">
        <v>149</v>
      </c>
      <c r="C85" s="43">
        <v>419.05105800000001</v>
      </c>
      <c r="D85" s="43">
        <v>461.515265</v>
      </c>
      <c r="E85" s="43">
        <v>112.948994</v>
      </c>
      <c r="F85" s="43">
        <v>159.66724600000001</v>
      </c>
      <c r="G85" s="43">
        <v>116.4063017</v>
      </c>
      <c r="H85" s="43">
        <v>108.75749400000001</v>
      </c>
      <c r="I85" s="43">
        <v>77.099999999999994</v>
      </c>
      <c r="J85" s="43">
        <v>109.4</v>
      </c>
      <c r="K85" s="42">
        <v>119.96184099999999</v>
      </c>
    </row>
    <row r="86" spans="2:11" x14ac:dyDescent="0.25">
      <c r="B86" s="49" t="s">
        <v>150</v>
      </c>
      <c r="C86" s="43">
        <v>1087.7903052099998</v>
      </c>
      <c r="D86" s="43">
        <v>992.7589571819999</v>
      </c>
      <c r="E86" s="43">
        <v>940.82739994499991</v>
      </c>
      <c r="F86" s="43">
        <v>1220.5325476999997</v>
      </c>
      <c r="G86" s="43">
        <v>914.72167200000013</v>
      </c>
      <c r="H86" s="43">
        <v>1117.052737339</v>
      </c>
      <c r="I86" s="43">
        <v>842.6</v>
      </c>
      <c r="J86" s="43">
        <v>1063.0999999999997</v>
      </c>
      <c r="K86" s="42">
        <v>1246.9174310000005</v>
      </c>
    </row>
    <row r="87" spans="2:11" x14ac:dyDescent="0.25">
      <c r="B87" s="49" t="s">
        <v>151</v>
      </c>
      <c r="C87" s="43">
        <v>110.22163608999999</v>
      </c>
      <c r="D87" s="43">
        <v>113.94351861999996</v>
      </c>
      <c r="E87" s="43">
        <v>105.35492540900005</v>
      </c>
      <c r="F87" s="43">
        <v>92.563770022000028</v>
      </c>
      <c r="G87" s="43">
        <v>98.890890849999991</v>
      </c>
      <c r="H87" s="43">
        <v>100.01305017999998</v>
      </c>
      <c r="I87" s="43">
        <v>119</v>
      </c>
      <c r="J87" s="43">
        <v>128.69999999999993</v>
      </c>
      <c r="K87" s="42">
        <v>124.831954</v>
      </c>
    </row>
    <row r="88" spans="2:11" x14ac:dyDescent="0.25">
      <c r="B88" s="49" t="s">
        <v>152</v>
      </c>
      <c r="C88" s="43">
        <v>15.133067</v>
      </c>
      <c r="D88" s="43">
        <v>14.821987</v>
      </c>
      <c r="E88" s="43">
        <v>18.565284999999999</v>
      </c>
      <c r="F88" s="43">
        <v>3.329E-2</v>
      </c>
      <c r="G88" s="43">
        <v>0.111249</v>
      </c>
      <c r="H88" s="43">
        <v>0.101428</v>
      </c>
      <c r="I88" s="43">
        <v>0.1</v>
      </c>
      <c r="J88" s="43">
        <v>0.4</v>
      </c>
      <c r="K88" s="42">
        <v>0.22342300000000001</v>
      </c>
    </row>
    <row r="89" spans="2:11" x14ac:dyDescent="0.25">
      <c r="B89" s="49" t="s">
        <v>153</v>
      </c>
      <c r="C89" s="43">
        <v>30.25633521</v>
      </c>
      <c r="D89" s="43">
        <v>26.203654493700007</v>
      </c>
      <c r="E89" s="43">
        <v>24.311697980000002</v>
      </c>
      <c r="F89" s="43">
        <v>20.123834272000003</v>
      </c>
      <c r="G89" s="43">
        <v>17.858103669999998</v>
      </c>
      <c r="H89" s="43">
        <v>26.590962572999999</v>
      </c>
      <c r="I89" s="43">
        <v>17.8</v>
      </c>
      <c r="J89" s="43">
        <v>49.90000000000002</v>
      </c>
      <c r="K89" s="42">
        <v>39.278064000000015</v>
      </c>
    </row>
    <row r="90" spans="2:11" x14ac:dyDescent="0.25">
      <c r="B90" s="49" t="s">
        <v>154</v>
      </c>
      <c r="C90" s="43">
        <v>2389.834633690999</v>
      </c>
      <c r="D90" s="43">
        <v>1898.9664713300001</v>
      </c>
      <c r="E90" s="43">
        <v>970.119635356</v>
      </c>
      <c r="F90" s="43">
        <v>327.3758317760001</v>
      </c>
      <c r="G90" s="43">
        <v>1858.2525766759993</v>
      </c>
      <c r="H90" s="43">
        <v>1162.6842494220004</v>
      </c>
      <c r="I90" s="43">
        <v>835.3</v>
      </c>
      <c r="J90" s="43">
        <v>1049.3999999999999</v>
      </c>
      <c r="K90" s="42">
        <v>1079.0379329999994</v>
      </c>
    </row>
    <row r="91" spans="2:11" x14ac:dyDescent="0.25">
      <c r="B91" s="49" t="s">
        <v>155</v>
      </c>
      <c r="C91" s="44">
        <v>7.2000000000000005E-4</v>
      </c>
      <c r="D91" s="45">
        <v>6.7999999999999996E-3</v>
      </c>
      <c r="E91" s="46">
        <v>6.0999999999999997E-4</v>
      </c>
      <c r="F91" s="44">
        <v>3.8400000000000001E-3</v>
      </c>
      <c r="G91" s="37">
        <v>0</v>
      </c>
      <c r="H91" s="43">
        <v>0.54468700000000003</v>
      </c>
      <c r="I91" s="43">
        <v>0</v>
      </c>
      <c r="J91" s="43">
        <v>0.7</v>
      </c>
      <c r="K91" s="42">
        <v>0.45690900000000001</v>
      </c>
    </row>
    <row r="92" spans="2:11" x14ac:dyDescent="0.25">
      <c r="B92" s="49" t="s">
        <v>156</v>
      </c>
      <c r="C92" s="43">
        <v>26.561094349999998</v>
      </c>
      <c r="D92" s="43">
        <v>34.396437560000003</v>
      </c>
      <c r="E92" s="43">
        <v>39.024068259999993</v>
      </c>
      <c r="F92" s="43">
        <v>14.269967449999999</v>
      </c>
      <c r="G92" s="43">
        <v>12.862920920000001</v>
      </c>
      <c r="H92" s="43">
        <v>36.395446</v>
      </c>
      <c r="I92" s="43">
        <v>14.4</v>
      </c>
      <c r="J92" s="43">
        <v>40.700000000000003</v>
      </c>
      <c r="K92" s="42">
        <v>42.962797000000002</v>
      </c>
    </row>
    <row r="93" spans="2:11" x14ac:dyDescent="0.25">
      <c r="B93" s="49" t="s">
        <v>157</v>
      </c>
      <c r="C93" s="43">
        <v>29.412825136000002</v>
      </c>
      <c r="D93" s="43">
        <v>30.607801983999998</v>
      </c>
      <c r="E93" s="43">
        <v>30.352938000000002</v>
      </c>
      <c r="F93" s="43">
        <v>36.111640562000005</v>
      </c>
      <c r="G93" s="43">
        <v>25.663796999999999</v>
      </c>
      <c r="H93" s="43">
        <v>19.051223220000004</v>
      </c>
      <c r="I93" s="43">
        <v>24.7</v>
      </c>
      <c r="J93" s="43">
        <v>29.8</v>
      </c>
      <c r="K93" s="42">
        <v>20.844405000000002</v>
      </c>
    </row>
    <row r="94" spans="2:11" x14ac:dyDescent="0.25">
      <c r="B94" s="49" t="s">
        <v>158</v>
      </c>
      <c r="C94" s="43">
        <v>13.57365918</v>
      </c>
      <c r="D94" s="43">
        <v>14.748590469999998</v>
      </c>
      <c r="E94" s="43">
        <v>17.693332999999999</v>
      </c>
      <c r="F94" s="43">
        <v>11.159879330000001</v>
      </c>
      <c r="G94" s="43">
        <v>7.8613439200000013</v>
      </c>
      <c r="H94" s="43">
        <v>17.479326910000001</v>
      </c>
      <c r="I94" s="43">
        <v>10.9</v>
      </c>
      <c r="J94" s="43">
        <v>8.9</v>
      </c>
      <c r="K94" s="42">
        <v>10.032225999999998</v>
      </c>
    </row>
    <row r="95" spans="2:11" x14ac:dyDescent="0.25">
      <c r="B95" s="49" t="s">
        <v>159</v>
      </c>
      <c r="C95" s="43">
        <v>214.638032106</v>
      </c>
      <c r="D95" s="43">
        <v>11.832274810000001</v>
      </c>
      <c r="E95" s="43">
        <v>9.2836931419999988</v>
      </c>
      <c r="F95" s="43">
        <v>15.318431924000002</v>
      </c>
      <c r="G95" s="43">
        <v>25.948363552900005</v>
      </c>
      <c r="H95" s="43">
        <v>36.419512000000012</v>
      </c>
      <c r="I95" s="43">
        <v>19</v>
      </c>
      <c r="J95" s="43">
        <v>14.699999999999994</v>
      </c>
      <c r="K95" s="42">
        <v>28.710699999999996</v>
      </c>
    </row>
    <row r="96" spans="2:11" ht="24.75" x14ac:dyDescent="0.25">
      <c r="B96" s="49" t="s">
        <v>160</v>
      </c>
      <c r="C96" s="43">
        <v>0.58078637299999991</v>
      </c>
      <c r="D96" s="43">
        <v>0.73098938599999996</v>
      </c>
      <c r="E96" s="43">
        <v>0.37728510799999998</v>
      </c>
      <c r="F96" s="43">
        <v>0.50749900000000003</v>
      </c>
      <c r="G96" s="43">
        <v>1.17672</v>
      </c>
      <c r="H96" s="43">
        <v>1.4228305000000001</v>
      </c>
      <c r="I96" s="43">
        <v>2</v>
      </c>
      <c r="J96" s="43">
        <v>1.8</v>
      </c>
      <c r="K96" s="42">
        <v>1.38798</v>
      </c>
    </row>
    <row r="97" spans="2:11" ht="24.75" x14ac:dyDescent="0.25">
      <c r="B97" s="49" t="s">
        <v>161</v>
      </c>
      <c r="C97" s="43">
        <v>0.67874199999999996</v>
      </c>
      <c r="D97" s="43">
        <v>0.91137899999999994</v>
      </c>
      <c r="E97" s="43">
        <v>0.53795899999999996</v>
      </c>
      <c r="F97" s="43">
        <v>0.58412200000000003</v>
      </c>
      <c r="G97" s="43">
        <v>0.79818699999999998</v>
      </c>
      <c r="H97" s="43">
        <v>0.77973500000000007</v>
      </c>
      <c r="I97" s="43">
        <v>0.6</v>
      </c>
      <c r="J97" s="43">
        <v>1</v>
      </c>
      <c r="K97" s="42">
        <v>0.649451</v>
      </c>
    </row>
    <row r="98" spans="2:11" x14ac:dyDescent="0.25">
      <c r="B98" s="49" t="s">
        <v>162</v>
      </c>
      <c r="C98" s="43">
        <v>7.2731757000000004</v>
      </c>
      <c r="D98" s="43">
        <v>4.2925892000000001</v>
      </c>
      <c r="E98" s="43">
        <v>6.9615442999999999</v>
      </c>
      <c r="F98" s="43">
        <v>6.2910242000000007</v>
      </c>
      <c r="G98" s="43">
        <v>3.9549131659999999</v>
      </c>
      <c r="H98" s="43">
        <v>2.1025309999999999</v>
      </c>
      <c r="I98" s="43">
        <v>6.1</v>
      </c>
      <c r="J98" s="43">
        <v>41.800000000000004</v>
      </c>
      <c r="K98" s="42">
        <v>6.1746420000000004</v>
      </c>
    </row>
    <row r="99" spans="2:11" x14ac:dyDescent="0.25">
      <c r="B99" s="49" t="s">
        <v>163</v>
      </c>
      <c r="C99" s="43">
        <v>2.8383250000000002</v>
      </c>
      <c r="D99" s="43">
        <v>3.2035880000000003</v>
      </c>
      <c r="E99" s="43">
        <v>2.6534429999999998</v>
      </c>
      <c r="F99" s="43">
        <v>1.8589829999999998</v>
      </c>
      <c r="G99" s="43">
        <v>1.7776890000000001</v>
      </c>
      <c r="H99" s="43">
        <v>1.9579060000000001</v>
      </c>
      <c r="I99" s="43">
        <v>2.4</v>
      </c>
      <c r="J99" s="43">
        <v>2.5</v>
      </c>
      <c r="K99" s="42">
        <v>1.8814489999999999</v>
      </c>
    </row>
    <row r="100" spans="2:11" x14ac:dyDescent="0.25">
      <c r="B100" s="49" t="s">
        <v>164</v>
      </c>
      <c r="C100" s="43">
        <v>48.082060499000001</v>
      </c>
      <c r="D100" s="43">
        <v>41.398500749999997</v>
      </c>
      <c r="E100" s="43">
        <v>46.964747700000011</v>
      </c>
      <c r="F100" s="43">
        <v>47.566562870000006</v>
      </c>
      <c r="G100" s="43">
        <v>50.125303300000013</v>
      </c>
      <c r="H100" s="43">
        <v>40.273183492000008</v>
      </c>
      <c r="I100" s="43">
        <v>27.5</v>
      </c>
      <c r="J100" s="43">
        <v>36.600000000000016</v>
      </c>
      <c r="K100" s="42">
        <v>44.529638999999996</v>
      </c>
    </row>
    <row r="101" spans="2:11" ht="24.75" x14ac:dyDescent="0.25">
      <c r="B101" s="49" t="s">
        <v>165</v>
      </c>
      <c r="C101" s="43">
        <v>16.956189000000002</v>
      </c>
      <c r="D101" s="43">
        <v>23.64956059</v>
      </c>
      <c r="E101" s="43">
        <v>16.407161290000001</v>
      </c>
      <c r="F101" s="43">
        <v>11.026766</v>
      </c>
      <c r="G101" s="43">
        <v>22.573105709999993</v>
      </c>
      <c r="H101" s="43">
        <v>20.011556810000002</v>
      </c>
      <c r="I101" s="43">
        <v>18.3</v>
      </c>
      <c r="J101" s="43">
        <v>10.3</v>
      </c>
      <c r="K101" s="42">
        <v>19.756511</v>
      </c>
    </row>
    <row r="102" spans="2:11" x14ac:dyDescent="0.25">
      <c r="B102" s="49" t="s">
        <v>166</v>
      </c>
      <c r="C102" s="43">
        <v>140.26737207300002</v>
      </c>
      <c r="D102" s="43">
        <v>107.29916688500002</v>
      </c>
      <c r="E102" s="43">
        <v>132.69172045000002</v>
      </c>
      <c r="F102" s="43">
        <v>94.612105599000031</v>
      </c>
      <c r="G102" s="43">
        <v>171.86737124899992</v>
      </c>
      <c r="H102" s="43">
        <v>120.73423091189997</v>
      </c>
      <c r="I102" s="43">
        <v>113.1</v>
      </c>
      <c r="J102" s="43">
        <v>136.69999999999996</v>
      </c>
      <c r="K102" s="42">
        <v>151.83579400000002</v>
      </c>
    </row>
    <row r="103" spans="2:11" x14ac:dyDescent="0.25">
      <c r="B103" s="49" t="s">
        <v>167</v>
      </c>
      <c r="C103" s="37">
        <v>0</v>
      </c>
      <c r="D103" s="37">
        <v>0</v>
      </c>
      <c r="E103" s="37">
        <v>0</v>
      </c>
      <c r="F103" s="37">
        <v>0</v>
      </c>
      <c r="G103" s="43">
        <v>0.19738</v>
      </c>
      <c r="H103" s="43">
        <v>0.18</v>
      </c>
      <c r="I103" s="43">
        <v>0.2</v>
      </c>
      <c r="J103" s="43">
        <v>0.2</v>
      </c>
      <c r="K103" s="42">
        <v>0.15237900000000001</v>
      </c>
    </row>
    <row r="104" spans="2:11" x14ac:dyDescent="0.25">
      <c r="B104" s="49" t="s">
        <v>168</v>
      </c>
      <c r="C104" s="43">
        <v>1.9348000000000001E-2</v>
      </c>
      <c r="D104" s="43">
        <v>8.8866000000000001E-2</v>
      </c>
      <c r="E104" s="43">
        <v>8.3381999999999998E-2</v>
      </c>
      <c r="F104" s="43">
        <v>3.177E-2</v>
      </c>
      <c r="G104" s="43">
        <v>4.5676999999999995E-2</v>
      </c>
      <c r="H104" s="43">
        <v>3.2747999999999999E-2</v>
      </c>
      <c r="I104" s="43">
        <v>0</v>
      </c>
      <c r="J104" s="43">
        <v>0</v>
      </c>
      <c r="K104" s="42">
        <v>3.2207E-2</v>
      </c>
    </row>
    <row r="105" spans="2:11" x14ac:dyDescent="0.25">
      <c r="B105" s="49" t="s">
        <v>169</v>
      </c>
      <c r="C105" s="43">
        <v>0.61505556499999992</v>
      </c>
      <c r="D105" s="43">
        <v>0.59126429000000003</v>
      </c>
      <c r="E105" s="43">
        <v>0.56313400000000002</v>
      </c>
      <c r="F105" s="37">
        <v>0</v>
      </c>
      <c r="G105" s="37">
        <v>0</v>
      </c>
      <c r="H105" s="43">
        <v>0.33031094</v>
      </c>
      <c r="I105" s="43">
        <v>0.3</v>
      </c>
      <c r="J105" s="37">
        <v>0</v>
      </c>
      <c r="K105" s="42">
        <v>0.34135300000000002</v>
      </c>
    </row>
    <row r="106" spans="2:11" x14ac:dyDescent="0.25">
      <c r="B106" s="49" t="s">
        <v>170</v>
      </c>
      <c r="C106" s="43">
        <v>0.95214100000000002</v>
      </c>
      <c r="D106" s="37">
        <v>0</v>
      </c>
      <c r="E106" s="37">
        <v>0</v>
      </c>
      <c r="F106" s="37">
        <v>0</v>
      </c>
      <c r="G106" s="37">
        <v>0</v>
      </c>
      <c r="H106" s="37">
        <v>0</v>
      </c>
      <c r="I106" s="37">
        <v>0</v>
      </c>
      <c r="J106" s="37">
        <v>0</v>
      </c>
      <c r="K106" s="42">
        <v>0</v>
      </c>
    </row>
    <row r="107" spans="2:11" x14ac:dyDescent="0.25">
      <c r="B107" s="49" t="s">
        <v>171</v>
      </c>
      <c r="C107" s="43">
        <v>6.1149132399999999</v>
      </c>
      <c r="D107" s="43">
        <v>5.9319370000000005</v>
      </c>
      <c r="E107" s="43">
        <v>8.0460411400000016</v>
      </c>
      <c r="F107" s="43">
        <v>8.4045391700000032</v>
      </c>
      <c r="G107" s="43">
        <v>4.4870447149999997</v>
      </c>
      <c r="H107" s="43">
        <v>4.9575952900000004</v>
      </c>
      <c r="I107" s="43">
        <v>4</v>
      </c>
      <c r="J107" s="43">
        <v>3.8000000000000007</v>
      </c>
      <c r="K107" s="42">
        <v>6.8231650000000004</v>
      </c>
    </row>
    <row r="108" spans="2:11" x14ac:dyDescent="0.25">
      <c r="B108" s="49" t="s">
        <v>172</v>
      </c>
      <c r="C108" s="43">
        <v>0.69915399999999994</v>
      </c>
      <c r="D108" s="43">
        <v>0.95655400000000002</v>
      </c>
      <c r="E108" s="43">
        <v>0.98873200000000006</v>
      </c>
      <c r="F108" s="43">
        <v>0.84550042000000014</v>
      </c>
      <c r="G108" s="43">
        <v>1.9000239999999999</v>
      </c>
      <c r="H108" s="43">
        <v>0.51795199999999997</v>
      </c>
      <c r="I108" s="43">
        <v>0.8</v>
      </c>
      <c r="J108" s="43">
        <v>0.4</v>
      </c>
      <c r="K108" s="42">
        <v>1.150277</v>
      </c>
    </row>
    <row r="109" spans="2:11" x14ac:dyDescent="0.25">
      <c r="B109" s="49" t="s">
        <v>173</v>
      </c>
      <c r="C109" s="43">
        <v>40.892511524999996</v>
      </c>
      <c r="D109" s="43">
        <v>26.931500653000001</v>
      </c>
      <c r="E109" s="43">
        <v>45.477231240000009</v>
      </c>
      <c r="F109" s="43">
        <v>43.125450000000008</v>
      </c>
      <c r="G109" s="43">
        <v>43.045622999999999</v>
      </c>
      <c r="H109" s="43">
        <v>44.221358299999999</v>
      </c>
      <c r="I109" s="43">
        <v>43</v>
      </c>
      <c r="J109" s="43">
        <v>50.199999999999996</v>
      </c>
      <c r="K109" s="42">
        <v>52.529635999999989</v>
      </c>
    </row>
    <row r="110" spans="2:11" x14ac:dyDescent="0.25">
      <c r="B110" s="49" t="s">
        <v>174</v>
      </c>
      <c r="C110" s="43">
        <v>4.8734399999999996</v>
      </c>
      <c r="D110" s="43">
        <v>4.6012839999999997</v>
      </c>
      <c r="E110" s="43">
        <v>4.3709280000000001</v>
      </c>
      <c r="F110" s="43">
        <v>5.1609999999999998E-3</v>
      </c>
      <c r="G110" s="43">
        <v>4.5256670000000003</v>
      </c>
      <c r="H110" s="43">
        <v>18.3871258</v>
      </c>
      <c r="I110" s="43"/>
      <c r="J110" s="43">
        <v>6</v>
      </c>
      <c r="K110" s="42">
        <v>15.062780999999999</v>
      </c>
    </row>
    <row r="111" spans="2:11" x14ac:dyDescent="0.25">
      <c r="B111" s="49" t="s">
        <v>175</v>
      </c>
      <c r="C111" s="43">
        <v>4.6449800000000003</v>
      </c>
      <c r="D111" s="43">
        <v>4.6700769999999991</v>
      </c>
      <c r="E111" s="43">
        <v>4.7626525999999991</v>
      </c>
      <c r="F111" s="43">
        <v>5.0968750000000007</v>
      </c>
      <c r="G111" s="43">
        <v>4.5011999999999995E-3</v>
      </c>
      <c r="H111" s="43">
        <v>4.3090000000000003E-3</v>
      </c>
      <c r="I111" s="43">
        <v>0.2</v>
      </c>
      <c r="J111" s="43">
        <v>0</v>
      </c>
      <c r="K111" s="42">
        <v>4.8459999999999996E-3</v>
      </c>
    </row>
    <row r="112" spans="2:11" x14ac:dyDescent="0.25">
      <c r="B112" s="49" t="s">
        <v>176</v>
      </c>
      <c r="C112" s="43">
        <v>12.731871999999999</v>
      </c>
      <c r="D112" s="43">
        <v>6.4861769999999996</v>
      </c>
      <c r="E112" s="43">
        <v>3.5771380000000002</v>
      </c>
      <c r="F112" s="43">
        <v>2.4942679999999999</v>
      </c>
      <c r="G112" s="43">
        <v>17.132225999999999</v>
      </c>
      <c r="H112" s="43">
        <v>3.429208</v>
      </c>
      <c r="I112" s="43">
        <v>3.4</v>
      </c>
      <c r="J112" s="43">
        <v>3.5000000000000009</v>
      </c>
      <c r="K112" s="42">
        <v>4.221998000000001</v>
      </c>
    </row>
    <row r="113" spans="2:11" x14ac:dyDescent="0.25">
      <c r="B113" s="49" t="s">
        <v>177</v>
      </c>
      <c r="C113" s="43">
        <v>36.461637519999996</v>
      </c>
      <c r="D113" s="43">
        <v>47.356774251000004</v>
      </c>
      <c r="E113" s="43">
        <v>49.869994039000005</v>
      </c>
      <c r="F113" s="43">
        <v>49.346604139999997</v>
      </c>
      <c r="G113" s="43">
        <v>46.690175849999996</v>
      </c>
      <c r="H113" s="43">
        <v>49.778490423999997</v>
      </c>
      <c r="I113" s="43">
        <v>49.7</v>
      </c>
      <c r="J113" s="43">
        <v>65.3</v>
      </c>
      <c r="K113" s="42">
        <v>63.126220000000004</v>
      </c>
    </row>
    <row r="114" spans="2:11" x14ac:dyDescent="0.25">
      <c r="B114" s="49" t="s">
        <v>178</v>
      </c>
      <c r="C114" s="43">
        <v>38.139055000000035</v>
      </c>
      <c r="D114" s="43">
        <v>46.027994</v>
      </c>
      <c r="E114" s="43">
        <v>39.720442000000006</v>
      </c>
      <c r="F114" s="43">
        <v>36.839238999999992</v>
      </c>
      <c r="G114" s="43">
        <v>33.369312999999998</v>
      </c>
      <c r="H114" s="43">
        <v>36.563081999999994</v>
      </c>
      <c r="I114" s="43">
        <v>53.5</v>
      </c>
      <c r="J114" s="43">
        <v>33</v>
      </c>
      <c r="K114" s="42">
        <v>33.380595</v>
      </c>
    </row>
    <row r="115" spans="2:11" x14ac:dyDescent="0.25">
      <c r="B115" s="49" t="s">
        <v>179</v>
      </c>
      <c r="C115" s="43">
        <v>32.475123000000004</v>
      </c>
      <c r="D115" s="43">
        <v>1.0629030000000002</v>
      </c>
      <c r="E115" s="43">
        <v>0.92108299999999999</v>
      </c>
      <c r="F115" s="43">
        <v>0.72225600000000001</v>
      </c>
      <c r="G115" s="43">
        <v>0.24751899999999999</v>
      </c>
      <c r="H115" s="43">
        <v>2.8799999999999999E-2</v>
      </c>
      <c r="I115" s="43">
        <v>0</v>
      </c>
      <c r="J115" s="43">
        <v>0</v>
      </c>
      <c r="K115" s="42">
        <v>2.3199999999999998E-2</v>
      </c>
    </row>
    <row r="116" spans="2:11" x14ac:dyDescent="0.25">
      <c r="B116" s="49" t="s">
        <v>180</v>
      </c>
      <c r="C116" s="43">
        <v>8.4127900000000001E-4</v>
      </c>
      <c r="D116" s="37">
        <v>0</v>
      </c>
      <c r="E116" s="37">
        <v>0</v>
      </c>
      <c r="F116" s="43">
        <v>6.0132999999999999E-2</v>
      </c>
      <c r="G116" s="37">
        <v>0</v>
      </c>
      <c r="H116" s="37">
        <v>0</v>
      </c>
      <c r="I116" s="43">
        <v>0</v>
      </c>
      <c r="J116" s="43">
        <v>0</v>
      </c>
      <c r="K116" s="42">
        <v>0.19071100000000002</v>
      </c>
    </row>
    <row r="117" spans="2:11" x14ac:dyDescent="0.25">
      <c r="B117" s="49" t="s">
        <v>181</v>
      </c>
      <c r="C117" s="43">
        <v>12.053369999999999</v>
      </c>
      <c r="D117" s="43">
        <v>11.966564002</v>
      </c>
      <c r="E117" s="43">
        <v>11.772183120000001</v>
      </c>
      <c r="F117" s="43">
        <v>11.110094000000002</v>
      </c>
      <c r="G117" s="43">
        <v>11.268941</v>
      </c>
      <c r="H117" s="43">
        <v>10.843889000000001</v>
      </c>
      <c r="I117" s="43">
        <v>10.3</v>
      </c>
      <c r="J117" s="43">
        <v>12.4</v>
      </c>
      <c r="K117" s="42">
        <v>12.910923</v>
      </c>
    </row>
    <row r="118" spans="2:11" ht="24.75" x14ac:dyDescent="0.25">
      <c r="B118" s="49" t="s">
        <v>182</v>
      </c>
      <c r="C118" s="43">
        <v>0.12856000000000001</v>
      </c>
      <c r="D118" s="43">
        <v>0.12175999999999999</v>
      </c>
      <c r="E118" s="43">
        <v>0.16234100000000001</v>
      </c>
      <c r="F118" s="43">
        <v>0.157164</v>
      </c>
      <c r="G118" s="43">
        <v>0.20243700000000001</v>
      </c>
      <c r="H118" s="43">
        <v>0.25378899999999999</v>
      </c>
      <c r="I118" s="43">
        <v>0.2</v>
      </c>
      <c r="J118" s="43">
        <v>0.30000000000000004</v>
      </c>
      <c r="K118" s="42">
        <v>0.28129700000000002</v>
      </c>
    </row>
    <row r="119" spans="2:11" x14ac:dyDescent="0.25">
      <c r="B119" s="49" t="s">
        <v>183</v>
      </c>
      <c r="C119" s="43">
        <v>2.5307599999999997E-4</v>
      </c>
      <c r="D119" s="43">
        <v>1.41185E-4</v>
      </c>
      <c r="E119" s="37">
        <v>0</v>
      </c>
      <c r="F119" s="37">
        <v>0</v>
      </c>
      <c r="G119" s="37">
        <v>0</v>
      </c>
      <c r="H119" s="37">
        <v>0</v>
      </c>
      <c r="I119" s="37">
        <v>0</v>
      </c>
      <c r="J119" s="37">
        <v>0</v>
      </c>
      <c r="K119" s="42">
        <v>0</v>
      </c>
    </row>
    <row r="120" spans="2:11" x14ac:dyDescent="0.25">
      <c r="B120" s="49" t="s">
        <v>184</v>
      </c>
      <c r="C120" s="43">
        <v>2.3081670000000001</v>
      </c>
      <c r="D120" s="43">
        <v>1.3032190000000001</v>
      </c>
      <c r="E120" s="43">
        <v>1.358776</v>
      </c>
      <c r="F120" s="43">
        <v>1.0596639999999999</v>
      </c>
      <c r="G120" s="43">
        <v>0.88479400000000008</v>
      </c>
      <c r="H120" s="43">
        <v>0.93136400000000008</v>
      </c>
      <c r="I120" s="43">
        <v>0.6</v>
      </c>
      <c r="J120" s="43">
        <v>0.6</v>
      </c>
      <c r="K120" s="42">
        <v>0.81960200000000005</v>
      </c>
    </row>
    <row r="121" spans="2:11" ht="24.75" x14ac:dyDescent="0.25">
      <c r="B121" s="49" t="s">
        <v>185</v>
      </c>
      <c r="C121" s="37">
        <v>0</v>
      </c>
      <c r="D121" s="37">
        <v>0</v>
      </c>
      <c r="E121" s="43">
        <v>0.37189600000000023</v>
      </c>
      <c r="F121" s="37">
        <v>0</v>
      </c>
      <c r="G121" s="37">
        <v>0</v>
      </c>
      <c r="H121" s="37">
        <v>0</v>
      </c>
      <c r="I121" s="37">
        <v>0</v>
      </c>
      <c r="J121" s="37">
        <v>0</v>
      </c>
      <c r="K121" s="42">
        <v>0</v>
      </c>
    </row>
    <row r="122" spans="2:11" x14ac:dyDescent="0.25">
      <c r="B122" s="49" t="s">
        <v>186</v>
      </c>
      <c r="C122" s="43">
        <v>6.6135199140000003</v>
      </c>
      <c r="D122" s="43">
        <v>9.3355412780000009</v>
      </c>
      <c r="E122" s="43">
        <v>7.9129214499999989</v>
      </c>
      <c r="F122" s="43">
        <v>17.574967452999999</v>
      </c>
      <c r="G122" s="43">
        <v>8.9405038499999989</v>
      </c>
      <c r="H122" s="43">
        <v>5.8738595</v>
      </c>
      <c r="I122" s="43">
        <v>2.4</v>
      </c>
      <c r="J122" s="43">
        <v>4.7999999999999989</v>
      </c>
      <c r="K122" s="42">
        <v>5.7607739999999996</v>
      </c>
    </row>
    <row r="123" spans="2:11" x14ac:dyDescent="0.25">
      <c r="B123" s="49" t="s">
        <v>187</v>
      </c>
      <c r="C123" s="43">
        <v>0.99617099999999992</v>
      </c>
      <c r="D123" s="43">
        <v>5.0480814799999996</v>
      </c>
      <c r="E123" s="43">
        <v>1.5104019</v>
      </c>
      <c r="F123" s="43">
        <v>1.767987</v>
      </c>
      <c r="G123" s="43">
        <v>4.2794489700000007</v>
      </c>
      <c r="H123" s="43">
        <v>1.94133</v>
      </c>
      <c r="I123" s="43">
        <v>1.1000000000000001</v>
      </c>
      <c r="J123" s="43">
        <v>2.5</v>
      </c>
      <c r="K123" s="42">
        <v>5.8596339999999998</v>
      </c>
    </row>
    <row r="124" spans="2:11" x14ac:dyDescent="0.25">
      <c r="B124" s="49" t="s">
        <v>188</v>
      </c>
      <c r="C124" s="37">
        <v>0</v>
      </c>
      <c r="D124" s="37">
        <v>0</v>
      </c>
      <c r="E124" s="37">
        <v>0</v>
      </c>
      <c r="F124" s="43">
        <v>2.2995000000000002E-2</v>
      </c>
      <c r="G124" s="43">
        <v>2.8322E-2</v>
      </c>
      <c r="H124" s="43">
        <v>3.7324999999999997E-2</v>
      </c>
      <c r="I124" s="43">
        <v>2</v>
      </c>
      <c r="J124" s="43">
        <v>2.1</v>
      </c>
      <c r="K124" s="42">
        <v>2.2810219999999997</v>
      </c>
    </row>
    <row r="125" spans="2:11" x14ac:dyDescent="0.25">
      <c r="B125" s="49" t="s">
        <v>189</v>
      </c>
      <c r="C125" s="37">
        <v>0</v>
      </c>
      <c r="D125" s="37">
        <v>0</v>
      </c>
      <c r="E125" s="37">
        <v>0</v>
      </c>
      <c r="F125" s="37">
        <v>0</v>
      </c>
      <c r="G125" s="37">
        <v>0</v>
      </c>
      <c r="H125" s="43">
        <v>9.8716999999999999E-2</v>
      </c>
      <c r="I125" s="43">
        <v>0.1</v>
      </c>
      <c r="J125" s="43">
        <v>0.1</v>
      </c>
      <c r="K125" s="42">
        <v>5.6800000000000003E-2</v>
      </c>
    </row>
    <row r="126" spans="2:11" ht="24.75" x14ac:dyDescent="0.25">
      <c r="B126" s="49" t="s">
        <v>190</v>
      </c>
      <c r="C126" s="43">
        <v>0.131606</v>
      </c>
      <c r="D126" s="43">
        <v>0.72728999999999999</v>
      </c>
      <c r="E126" s="43">
        <v>0.61428000000000005</v>
      </c>
      <c r="F126" s="43">
        <v>7.4126999999999998E-2</v>
      </c>
      <c r="G126" s="43">
        <v>0.86847299999999994</v>
      </c>
      <c r="H126" s="43">
        <v>0.73331199999999996</v>
      </c>
      <c r="I126" s="43">
        <v>0.5</v>
      </c>
      <c r="J126" s="43">
        <v>0</v>
      </c>
      <c r="K126" s="42">
        <v>0</v>
      </c>
    </row>
    <row r="127" spans="2:11" ht="17.25" customHeight="1" x14ac:dyDescent="0.25">
      <c r="B127" s="49" t="s">
        <v>191</v>
      </c>
      <c r="C127" s="43">
        <v>0.1842</v>
      </c>
      <c r="D127" s="43">
        <v>0.25027199999999999</v>
      </c>
      <c r="E127" s="43">
        <v>0.24801300000000001</v>
      </c>
      <c r="F127" s="43">
        <v>0.26400000000000001</v>
      </c>
      <c r="G127" s="43">
        <v>0.26400000000000001</v>
      </c>
      <c r="H127" s="43">
        <v>0.275119</v>
      </c>
      <c r="I127" s="43">
        <v>0.1</v>
      </c>
      <c r="J127" s="43">
        <v>0.2</v>
      </c>
      <c r="K127" s="42">
        <v>0.30740200000000001</v>
      </c>
    </row>
    <row r="128" spans="2:11" ht="24.75" x14ac:dyDescent="0.25">
      <c r="B128" s="49" t="s">
        <v>192</v>
      </c>
      <c r="C128" s="37">
        <v>0</v>
      </c>
      <c r="D128" s="37">
        <v>0</v>
      </c>
      <c r="E128" s="37">
        <v>0</v>
      </c>
      <c r="F128" s="43">
        <v>1.044E-2</v>
      </c>
      <c r="G128" s="37">
        <v>0</v>
      </c>
      <c r="H128" s="37">
        <v>0</v>
      </c>
      <c r="I128" s="37">
        <v>0</v>
      </c>
      <c r="J128" s="37">
        <v>0</v>
      </c>
      <c r="K128" s="42">
        <v>0</v>
      </c>
    </row>
    <row r="129" spans="2:11" x14ac:dyDescent="0.25">
      <c r="B129" s="49" t="s">
        <v>193</v>
      </c>
      <c r="C129" s="43">
        <v>6.2912739999999996</v>
      </c>
      <c r="D129" s="43">
        <v>2.1419481999999999</v>
      </c>
      <c r="E129" s="43">
        <v>3.1450240000000003</v>
      </c>
      <c r="F129" s="43">
        <v>2.5086270000000002</v>
      </c>
      <c r="G129" s="43">
        <v>2.339899</v>
      </c>
      <c r="H129" s="43">
        <v>2.5760319999999997</v>
      </c>
      <c r="I129" s="43">
        <v>2.2000000000000002</v>
      </c>
      <c r="J129" s="43">
        <v>1.4</v>
      </c>
      <c r="K129" s="42">
        <v>2.5455790000000005</v>
      </c>
    </row>
    <row r="130" spans="2:11" x14ac:dyDescent="0.25">
      <c r="B130" s="49" t="s">
        <v>194</v>
      </c>
      <c r="C130" s="43">
        <v>37.634056000000001</v>
      </c>
      <c r="D130" s="43">
        <v>41.593460660000005</v>
      </c>
      <c r="E130" s="43">
        <v>37.091186</v>
      </c>
      <c r="F130" s="43">
        <v>37.138553999999999</v>
      </c>
      <c r="G130" s="43">
        <v>35.806145000000001</v>
      </c>
      <c r="H130" s="43">
        <v>39.943806000000002</v>
      </c>
      <c r="I130" s="43">
        <v>27.5</v>
      </c>
      <c r="J130" s="43">
        <v>28.6</v>
      </c>
      <c r="K130" s="42">
        <v>25.197800999999998</v>
      </c>
    </row>
    <row r="131" spans="2:11" ht="24.75" x14ac:dyDescent="0.25">
      <c r="B131" s="49" t="s">
        <v>195</v>
      </c>
      <c r="C131" s="43">
        <v>9.0797860000000021</v>
      </c>
      <c r="D131" s="43">
        <v>6.4913957999999994</v>
      </c>
      <c r="E131" s="43">
        <v>5.6560800100000002</v>
      </c>
      <c r="F131" s="43">
        <v>9.941847236000001</v>
      </c>
      <c r="G131" s="43">
        <v>6.3228720000000012</v>
      </c>
      <c r="H131" s="43">
        <v>11.65368952</v>
      </c>
      <c r="I131" s="43">
        <v>7.8</v>
      </c>
      <c r="J131" s="43">
        <v>3.5</v>
      </c>
      <c r="K131" s="42">
        <v>5.8023649999999991</v>
      </c>
    </row>
    <row r="132" spans="2:11" ht="24.75" x14ac:dyDescent="0.25">
      <c r="B132" s="49" t="s">
        <v>196</v>
      </c>
      <c r="C132" s="43">
        <v>904.57836122599997</v>
      </c>
      <c r="D132" s="43">
        <v>57.323671502999993</v>
      </c>
      <c r="E132" s="43">
        <v>57.132351109999988</v>
      </c>
      <c r="F132" s="43">
        <v>47.377329620999987</v>
      </c>
      <c r="G132" s="43">
        <v>53.805819443000004</v>
      </c>
      <c r="H132" s="43">
        <v>45.500669590000001</v>
      </c>
      <c r="I132" s="43">
        <v>37.700000000000003</v>
      </c>
      <c r="J132" s="43">
        <v>34.799999999999997</v>
      </c>
      <c r="K132" s="42">
        <v>42.204774000000015</v>
      </c>
    </row>
    <row r="133" spans="2:11" x14ac:dyDescent="0.25">
      <c r="B133" s="49" t="s">
        <v>197</v>
      </c>
      <c r="C133" s="43">
        <v>0.18935512000000002</v>
      </c>
      <c r="D133" s="43">
        <v>7.0201720000000005</v>
      </c>
      <c r="E133" s="43">
        <v>287.60600339999996</v>
      </c>
      <c r="F133" s="43">
        <v>5.6712290000000003</v>
      </c>
      <c r="G133" s="43">
        <v>4.3024309999999995</v>
      </c>
      <c r="H133" s="43">
        <v>5.9416611000000001</v>
      </c>
      <c r="I133" s="43">
        <v>5.3</v>
      </c>
      <c r="J133" s="43">
        <v>6.3</v>
      </c>
      <c r="K133" s="42">
        <v>4.0863659999999999</v>
      </c>
    </row>
    <row r="134" spans="2:11" x14ac:dyDescent="0.25">
      <c r="B134" s="49" t="s">
        <v>198</v>
      </c>
      <c r="C134" s="43">
        <v>0.76209199999999999</v>
      </c>
      <c r="D134" s="43">
        <v>0.81461000000000006</v>
      </c>
      <c r="E134" s="43">
        <v>5.7340000000000004E-3</v>
      </c>
      <c r="F134" s="43">
        <v>0.87455500000000008</v>
      </c>
      <c r="G134" s="43">
        <v>0.92733619999999994</v>
      </c>
      <c r="H134" s="43">
        <v>0.87955900000000009</v>
      </c>
      <c r="I134" s="43">
        <v>0.9</v>
      </c>
      <c r="J134" s="43">
        <v>0</v>
      </c>
      <c r="K134" s="42">
        <v>0.96942499999999998</v>
      </c>
    </row>
    <row r="135" spans="2:11" x14ac:dyDescent="0.25">
      <c r="B135" s="49" t="s">
        <v>199</v>
      </c>
      <c r="C135" s="43">
        <v>19.653278669999999</v>
      </c>
      <c r="D135" s="43">
        <v>9.8776903219999994</v>
      </c>
      <c r="E135" s="43">
        <v>17.6345201</v>
      </c>
      <c r="F135" s="43">
        <v>18.709872369999999</v>
      </c>
      <c r="G135" s="43">
        <v>18.358159139999998</v>
      </c>
      <c r="H135" s="43">
        <v>21.565241840000002</v>
      </c>
      <c r="I135" s="43">
        <v>14.7</v>
      </c>
      <c r="J135" s="43">
        <v>21.400000000000002</v>
      </c>
      <c r="K135" s="42">
        <v>19.888293999999998</v>
      </c>
    </row>
    <row r="136" spans="2:11" x14ac:dyDescent="0.25">
      <c r="B136" s="49" t="s">
        <v>200</v>
      </c>
      <c r="C136" s="43">
        <v>96.745921900999974</v>
      </c>
      <c r="D136" s="43">
        <v>75.07711096999995</v>
      </c>
      <c r="E136" s="43">
        <v>70.574931092999975</v>
      </c>
      <c r="F136" s="43">
        <v>15.477909592</v>
      </c>
      <c r="G136" s="43">
        <v>14.320093492000003</v>
      </c>
      <c r="H136" s="43">
        <v>17.572172321</v>
      </c>
      <c r="I136" s="43">
        <v>22</v>
      </c>
      <c r="J136" s="43">
        <v>15.299999999999999</v>
      </c>
      <c r="K136" s="42">
        <v>15.505698000000004</v>
      </c>
    </row>
    <row r="137" spans="2:11" x14ac:dyDescent="0.25">
      <c r="B137" s="49" t="s">
        <v>201</v>
      </c>
      <c r="C137" s="43">
        <v>1.0149059999999999</v>
      </c>
      <c r="D137" s="43">
        <v>1.9491209999999999</v>
      </c>
      <c r="E137" s="43">
        <v>1.95648</v>
      </c>
      <c r="F137" s="43">
        <v>2.8448859999999998</v>
      </c>
      <c r="G137" s="43">
        <v>2.9530069000000001</v>
      </c>
      <c r="H137" s="43">
        <v>4.0986607900000003</v>
      </c>
      <c r="I137" s="43">
        <v>2.8</v>
      </c>
      <c r="J137" s="43">
        <v>3.5999999999999996</v>
      </c>
      <c r="K137" s="42">
        <v>2.5890379999999995</v>
      </c>
    </row>
    <row r="138" spans="2:11" x14ac:dyDescent="0.25">
      <c r="B138" s="49" t="s">
        <v>202</v>
      </c>
      <c r="C138" s="43">
        <v>3.3101819999999997</v>
      </c>
      <c r="D138" s="43">
        <v>12.314546</v>
      </c>
      <c r="E138" s="43">
        <v>1.8731049999999998</v>
      </c>
      <c r="F138" s="43">
        <v>2.5536490000000001</v>
      </c>
      <c r="G138" s="43">
        <v>2.4717701999999999</v>
      </c>
      <c r="H138" s="43">
        <v>0.98795299999999997</v>
      </c>
      <c r="I138" s="43">
        <v>0.9</v>
      </c>
      <c r="J138" s="43">
        <v>1</v>
      </c>
      <c r="K138" s="42">
        <v>3.4983E-2</v>
      </c>
    </row>
    <row r="139" spans="2:11" x14ac:dyDescent="0.25">
      <c r="B139" s="49" t="s">
        <v>234</v>
      </c>
      <c r="C139" s="43" t="s">
        <v>249</v>
      </c>
      <c r="D139" s="43" t="s">
        <v>249</v>
      </c>
      <c r="E139" s="43" t="s">
        <v>249</v>
      </c>
      <c r="F139" s="43" t="s">
        <v>249</v>
      </c>
      <c r="G139" s="43" t="s">
        <v>249</v>
      </c>
      <c r="H139" s="43" t="s">
        <v>249</v>
      </c>
      <c r="I139" s="43" t="s">
        <v>249</v>
      </c>
      <c r="J139" s="43" t="s">
        <v>249</v>
      </c>
      <c r="K139" s="42">
        <v>2.7050999999999999E-2</v>
      </c>
    </row>
    <row r="140" spans="2:11" x14ac:dyDescent="0.25">
      <c r="B140" s="49" t="s">
        <v>235</v>
      </c>
      <c r="C140" s="43" t="s">
        <v>249</v>
      </c>
      <c r="D140" s="43" t="s">
        <v>249</v>
      </c>
      <c r="E140" s="43" t="s">
        <v>249</v>
      </c>
      <c r="F140" s="43" t="s">
        <v>249</v>
      </c>
      <c r="G140" s="43" t="s">
        <v>249</v>
      </c>
      <c r="H140" s="43" t="s">
        <v>249</v>
      </c>
      <c r="I140" s="43" t="s">
        <v>249</v>
      </c>
      <c r="J140" s="43" t="s">
        <v>249</v>
      </c>
      <c r="K140" s="42">
        <v>1.065976</v>
      </c>
    </row>
    <row r="141" spans="2:11" x14ac:dyDescent="0.25">
      <c r="B141" s="49" t="s">
        <v>203</v>
      </c>
      <c r="C141" s="37">
        <v>0</v>
      </c>
      <c r="D141" s="37">
        <v>0</v>
      </c>
      <c r="E141" s="37">
        <v>0</v>
      </c>
      <c r="F141" s="37">
        <v>0</v>
      </c>
      <c r="G141" s="43">
        <v>5.8812000000000003E-2</v>
      </c>
      <c r="H141" s="37">
        <v>0</v>
      </c>
      <c r="I141" s="37">
        <v>0</v>
      </c>
      <c r="J141" s="37">
        <v>0</v>
      </c>
      <c r="K141" s="42">
        <v>0</v>
      </c>
    </row>
    <row r="142" spans="2:11" x14ac:dyDescent="0.25">
      <c r="B142" s="49" t="s">
        <v>204</v>
      </c>
      <c r="C142" s="43">
        <v>0.46625899999999998</v>
      </c>
      <c r="D142" s="43">
        <v>0.48362699999999997</v>
      </c>
      <c r="E142" s="43">
        <v>0.87386444000000008</v>
      </c>
      <c r="F142" s="43">
        <v>1.3168500000000001</v>
      </c>
      <c r="G142" s="43">
        <v>1.7512100000000002</v>
      </c>
      <c r="H142" s="43">
        <v>0.41161999999999999</v>
      </c>
      <c r="I142" s="43">
        <v>2.2000000000000002</v>
      </c>
      <c r="J142" s="43">
        <v>3.1</v>
      </c>
      <c r="K142" s="42">
        <v>3.2991799999999998</v>
      </c>
    </row>
    <row r="143" spans="2:11" ht="24.75" x14ac:dyDescent="0.25">
      <c r="B143" s="49" t="s">
        <v>205</v>
      </c>
      <c r="C143" s="43">
        <v>3.8905560000000001</v>
      </c>
      <c r="D143" s="43">
        <v>4.1114509999999997</v>
      </c>
      <c r="E143" s="43">
        <v>3.7542863241250002</v>
      </c>
      <c r="F143" s="43">
        <v>2.2308918010000003</v>
      </c>
      <c r="G143" s="43">
        <v>6.3981978000000002</v>
      </c>
      <c r="H143" s="43">
        <v>5.0383798999999998</v>
      </c>
      <c r="I143" s="43">
        <v>6.5</v>
      </c>
      <c r="J143" s="43">
        <v>6.8</v>
      </c>
      <c r="K143" s="42">
        <v>8.5550610000000038</v>
      </c>
    </row>
    <row r="144" spans="2:11" x14ac:dyDescent="0.25">
      <c r="B144" s="49" t="s">
        <v>206</v>
      </c>
      <c r="C144" s="43">
        <v>51.276137380000002</v>
      </c>
      <c r="D144" s="43">
        <v>48.88414638699998</v>
      </c>
      <c r="E144" s="43">
        <v>44.040731744000006</v>
      </c>
      <c r="F144" s="43">
        <v>44.165081239999978</v>
      </c>
      <c r="G144" s="43">
        <v>45.259352703000012</v>
      </c>
      <c r="H144" s="43">
        <v>76.474631959999982</v>
      </c>
      <c r="I144" s="43">
        <v>53.8</v>
      </c>
      <c r="J144" s="43">
        <v>58.300000000000004</v>
      </c>
      <c r="K144" s="42">
        <v>157.31882400000003</v>
      </c>
    </row>
    <row r="145" spans="2:11" ht="30.75" customHeight="1" x14ac:dyDescent="0.25">
      <c r="B145" s="49" t="s">
        <v>207</v>
      </c>
      <c r="C145" s="43">
        <v>9.3982975310000008</v>
      </c>
      <c r="D145" s="43">
        <v>1.437152</v>
      </c>
      <c r="E145" s="43">
        <v>1.45052114</v>
      </c>
      <c r="F145" s="43">
        <v>0.98130243100000003</v>
      </c>
      <c r="G145" s="43">
        <v>1.136633</v>
      </c>
      <c r="H145" s="43">
        <v>1.0930549999999999</v>
      </c>
      <c r="I145" s="43">
        <v>1.1000000000000001</v>
      </c>
      <c r="J145" s="43">
        <v>1</v>
      </c>
      <c r="K145" s="42">
        <v>1.2905740000000001</v>
      </c>
    </row>
    <row r="146" spans="2:11" x14ac:dyDescent="0.25">
      <c r="B146" s="49" t="s">
        <v>208</v>
      </c>
      <c r="C146" s="43">
        <v>0.57240000000000013</v>
      </c>
      <c r="D146" s="43">
        <v>12.009182000000001</v>
      </c>
      <c r="E146" s="43">
        <v>13.139866530000004</v>
      </c>
      <c r="F146" s="43">
        <v>12.418174799999999</v>
      </c>
      <c r="G146" s="43">
        <v>13.54241</v>
      </c>
      <c r="H146" s="43">
        <v>13.88719375</v>
      </c>
      <c r="I146" s="43">
        <v>11.9</v>
      </c>
      <c r="J146" s="43">
        <v>11.999999999999996</v>
      </c>
      <c r="K146" s="42">
        <v>12.618064000000002</v>
      </c>
    </row>
    <row r="147" spans="2:11" x14ac:dyDescent="0.25">
      <c r="B147" s="49" t="s">
        <v>209</v>
      </c>
      <c r="C147" s="43">
        <v>4.4869999999999997E-3</v>
      </c>
      <c r="D147" s="43">
        <v>8.2330000000000007E-3</v>
      </c>
      <c r="E147" s="37">
        <v>0</v>
      </c>
      <c r="F147" s="37">
        <v>0</v>
      </c>
      <c r="G147" s="37">
        <v>0</v>
      </c>
      <c r="H147" s="37">
        <v>0</v>
      </c>
      <c r="I147" s="37">
        <v>0</v>
      </c>
      <c r="J147" s="37">
        <v>0</v>
      </c>
      <c r="K147" s="42">
        <v>0</v>
      </c>
    </row>
    <row r="148" spans="2:11" x14ac:dyDescent="0.25">
      <c r="B148" s="49" t="s">
        <v>210</v>
      </c>
      <c r="C148" s="43">
        <v>0.36113699999999999</v>
      </c>
      <c r="D148" s="43">
        <v>0.32158999999999993</v>
      </c>
      <c r="E148" s="43">
        <v>4.1478070000000006E-2</v>
      </c>
      <c r="F148" s="43">
        <v>0.15459743000000001</v>
      </c>
      <c r="G148" s="43">
        <v>0.22681997599999998</v>
      </c>
      <c r="H148" s="43">
        <v>0.189722485</v>
      </c>
      <c r="I148" s="43">
        <v>0.5</v>
      </c>
      <c r="J148" s="43">
        <v>0.4</v>
      </c>
      <c r="K148" s="42">
        <v>0.421927</v>
      </c>
    </row>
    <row r="149" spans="2:11" ht="24.75" x14ac:dyDescent="0.25">
      <c r="B149" s="49" t="s">
        <v>211</v>
      </c>
      <c r="C149" s="43">
        <v>8.0739999999999996E-3</v>
      </c>
      <c r="D149" s="43">
        <v>5.718E-3</v>
      </c>
      <c r="E149" s="43">
        <v>0.14371999999999999</v>
      </c>
      <c r="F149" s="43">
        <v>2.0473000000000002E-2</v>
      </c>
      <c r="G149" s="43">
        <v>1.9963999999999999E-2</v>
      </c>
      <c r="H149" s="37">
        <v>0</v>
      </c>
      <c r="I149" s="43">
        <v>0</v>
      </c>
      <c r="J149" s="37">
        <v>0</v>
      </c>
      <c r="K149" s="42">
        <v>0</v>
      </c>
    </row>
    <row r="150" spans="2:11" x14ac:dyDescent="0.25">
      <c r="B150" s="49" t="s">
        <v>212</v>
      </c>
      <c r="C150" s="43">
        <v>1.8908999999999999E-2</v>
      </c>
      <c r="D150" s="43">
        <v>1.8374000000000001E-2</v>
      </c>
      <c r="E150" s="43">
        <v>9.1250979999999995</v>
      </c>
      <c r="F150" s="43">
        <v>1.4548999999999999E-2</v>
      </c>
      <c r="G150" s="43">
        <v>1.6057999999999999E-2</v>
      </c>
      <c r="H150" s="43">
        <v>1.5931000000000001E-2</v>
      </c>
      <c r="I150" s="43">
        <v>0</v>
      </c>
      <c r="J150" s="43">
        <v>0</v>
      </c>
      <c r="K150" s="42">
        <v>2.8326000000000004E-2</v>
      </c>
    </row>
    <row r="151" spans="2:11" x14ac:dyDescent="0.25">
      <c r="B151" s="49" t="s">
        <v>213</v>
      </c>
      <c r="C151" s="37">
        <v>0</v>
      </c>
      <c r="D151" s="37">
        <v>0</v>
      </c>
      <c r="E151" s="43">
        <v>5.2899000000000002E-2</v>
      </c>
      <c r="F151" s="43">
        <v>4.1391999999999998E-2</v>
      </c>
      <c r="G151" s="43">
        <v>4.2865E-2</v>
      </c>
      <c r="H151" s="43">
        <v>4.0874000000000001E-2</v>
      </c>
      <c r="I151" s="43">
        <v>0</v>
      </c>
      <c r="J151" s="43">
        <v>0</v>
      </c>
      <c r="K151" s="42">
        <v>5.62E-4</v>
      </c>
    </row>
    <row r="152" spans="2:11" x14ac:dyDescent="0.25">
      <c r="B152" s="16"/>
      <c r="C152" s="21"/>
      <c r="D152" s="21"/>
      <c r="E152" s="21"/>
      <c r="F152" s="21"/>
      <c r="G152" s="21"/>
      <c r="H152" s="21"/>
      <c r="I152" s="21"/>
      <c r="J152" s="21"/>
      <c r="K152" s="24"/>
    </row>
    <row r="153" spans="2:11" ht="21" customHeight="1" x14ac:dyDescent="0.25">
      <c r="B153" s="65" t="s">
        <v>241</v>
      </c>
      <c r="C153" s="65"/>
      <c r="D153" s="65"/>
      <c r="E153" s="65"/>
      <c r="F153" s="65"/>
      <c r="G153" s="65"/>
      <c r="H153" s="65"/>
      <c r="I153" s="65"/>
      <c r="J153" s="65"/>
      <c r="K153" s="65"/>
    </row>
    <row r="154" spans="2:11" ht="70.5" customHeight="1" x14ac:dyDescent="0.25">
      <c r="B154" s="68" t="s">
        <v>238</v>
      </c>
      <c r="C154" s="68"/>
      <c r="D154" s="68"/>
      <c r="E154" s="68"/>
      <c r="F154" s="68"/>
      <c r="G154" s="68"/>
      <c r="H154" s="68"/>
      <c r="I154" s="68"/>
      <c r="J154" s="68"/>
      <c r="K154" s="68"/>
    </row>
    <row r="155" spans="2:11" ht="47.25" customHeight="1" x14ac:dyDescent="0.25">
      <c r="B155" s="68"/>
      <c r="C155" s="68"/>
      <c r="D155" s="68"/>
      <c r="E155" s="68"/>
      <c r="F155" s="68"/>
      <c r="G155" s="68"/>
      <c r="H155" s="68"/>
      <c r="I155" s="68"/>
      <c r="J155" s="68"/>
      <c r="K155" s="68"/>
    </row>
    <row r="156" spans="2:11" ht="59.25" customHeight="1" x14ac:dyDescent="0.25">
      <c r="B156" s="69" t="s">
        <v>244</v>
      </c>
      <c r="C156" s="69"/>
      <c r="D156" s="69"/>
      <c r="E156" s="69"/>
      <c r="F156" s="69"/>
      <c r="G156" s="69"/>
      <c r="H156" s="69"/>
      <c r="I156" s="69"/>
      <c r="J156" s="69"/>
      <c r="K156" s="69"/>
    </row>
    <row r="157" spans="2:11" x14ac:dyDescent="0.25">
      <c r="B157" s="70" t="s">
        <v>239</v>
      </c>
      <c r="C157" s="70"/>
      <c r="D157" s="70"/>
    </row>
  </sheetData>
  <mergeCells count="7">
    <mergeCell ref="B8:K8"/>
    <mergeCell ref="B157:D157"/>
    <mergeCell ref="B10:B11"/>
    <mergeCell ref="B153:K153"/>
    <mergeCell ref="B154:K155"/>
    <mergeCell ref="C11:K11"/>
    <mergeCell ref="B156:K15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Consumo energía nacional</vt:lpstr>
      <vt:lpstr>Grafica nacional</vt:lpstr>
      <vt:lpstr>Consumo energía departamental</vt:lpstr>
      <vt:lpstr>Grafica departamental</vt:lpstr>
      <vt:lpstr>Consumo energía AA</vt:lpstr>
      <vt:lpstr>Grafica AA</vt:lpstr>
      <vt:lpstr>Consumo energía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2023-12-15T15:45:28Z</dcterms:modified>
</cp:coreProperties>
</file>